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wnloads\"/>
    </mc:Choice>
  </mc:AlternateContent>
  <bookViews>
    <workbookView xWindow="0" yWindow="0" windowWidth="20490" windowHeight="8340"/>
  </bookViews>
  <sheets>
    <sheet name="List - !!Modifed points!!!" sheetId="1" r:id="rId1"/>
    <sheet name="Instruction Notes" sheetId="2" r:id="rId2"/>
    <sheet name="Lookup" sheetId="3" r:id="rId3"/>
  </sheets>
  <definedNames>
    <definedName name="Definition">Lookup!$H$71:$I$90</definedName>
    <definedName name="FoGDrop_Down">'List - !!Modifed points!!!'!$X$53:$AG$75</definedName>
    <definedName name="General">Lookup!$S$139:$V$142</definedName>
    <definedName name="Impact">Lookup!$M$113:$O$128</definedName>
    <definedName name="Local_language">'List - !!Modifed points!!!'!$P$29</definedName>
    <definedName name="Melee">Lookup!$P$130:$R$138</definedName>
    <definedName name="Shooting">Lookup!$J$93:$M$111</definedName>
  </definedNames>
  <calcPr calcId="152511"/>
</workbook>
</file>

<file path=xl/calcChain.xml><?xml version="1.0" encoding="utf-8"?>
<calcChain xmlns="http://schemas.openxmlformats.org/spreadsheetml/2006/main">
  <c r="AK94" i="1" l="1"/>
  <c r="AJ94" i="1"/>
  <c r="AI94" i="1"/>
  <c r="AH94" i="1"/>
  <c r="AK93" i="1"/>
  <c r="AJ93" i="1"/>
  <c r="AI93" i="1"/>
  <c r="AH93" i="1"/>
  <c r="AK92" i="1"/>
  <c r="AJ92" i="1"/>
  <c r="AI92" i="1"/>
  <c r="AH92" i="1"/>
  <c r="AK91" i="1"/>
  <c r="AJ91" i="1"/>
  <c r="AI91" i="1"/>
  <c r="AH91" i="1"/>
  <c r="AK90" i="1"/>
  <c r="AJ90" i="1"/>
  <c r="AI90" i="1"/>
  <c r="AH90" i="1"/>
  <c r="AK89" i="1"/>
  <c r="AJ89" i="1"/>
  <c r="AI89" i="1"/>
  <c r="AH89" i="1"/>
  <c r="AK88" i="1"/>
  <c r="AJ88" i="1"/>
  <c r="AI88" i="1"/>
  <c r="AH88" i="1"/>
  <c r="AK87" i="1"/>
  <c r="AJ87" i="1"/>
  <c r="AI87" i="1"/>
  <c r="AH87" i="1"/>
  <c r="AK86" i="1"/>
  <c r="AJ86" i="1"/>
  <c r="AI86" i="1"/>
  <c r="AH86" i="1"/>
  <c r="AK85" i="1"/>
  <c r="AJ85" i="1"/>
  <c r="AI85" i="1"/>
  <c r="AH85" i="1"/>
  <c r="AK84" i="1"/>
  <c r="AJ84" i="1"/>
  <c r="AI84" i="1"/>
  <c r="AH84" i="1"/>
  <c r="AK83" i="1"/>
  <c r="AJ83" i="1"/>
  <c r="AI83" i="1"/>
  <c r="AH83" i="1"/>
  <c r="AK82" i="1"/>
  <c r="AJ82" i="1"/>
  <c r="AI82" i="1"/>
  <c r="AH82" i="1"/>
  <c r="AK81" i="1"/>
  <c r="AJ81" i="1"/>
  <c r="AI81" i="1"/>
  <c r="AH81" i="1"/>
  <c r="AK80" i="1"/>
  <c r="AJ80" i="1"/>
  <c r="AI80" i="1"/>
  <c r="AH80" i="1"/>
  <c r="AK79" i="1"/>
  <c r="AJ79" i="1"/>
  <c r="AI79" i="1"/>
  <c r="AH79" i="1"/>
  <c r="AK78" i="1"/>
  <c r="AJ78" i="1"/>
  <c r="AI78" i="1"/>
  <c r="AH78" i="1"/>
  <c r="AS46" i="1"/>
  <c r="AO46" i="1"/>
  <c r="AN46" i="1"/>
  <c r="AM46" i="1"/>
  <c r="AL46" i="1"/>
  <c r="AJ46" i="1"/>
  <c r="AU46" i="1" s="1"/>
  <c r="AI46" i="1"/>
  <c r="AH46" i="1"/>
  <c r="AT46" i="1" s="1"/>
  <c r="AD46" i="1"/>
  <c r="AE46" i="1" s="1"/>
  <c r="AC46" i="1"/>
  <c r="AB46" i="1"/>
  <c r="AA46" i="1"/>
  <c r="X46" i="1" s="1"/>
  <c r="Z46" i="1"/>
  <c r="W46" i="1" s="1"/>
  <c r="Y46" i="1"/>
  <c r="R46" i="1"/>
  <c r="P46" i="1"/>
  <c r="O46" i="1"/>
  <c r="M46" i="1"/>
  <c r="AP46" i="1" s="1"/>
  <c r="AS45" i="1"/>
  <c r="AO45" i="1"/>
  <c r="AN45" i="1"/>
  <c r="AM45" i="1"/>
  <c r="AL45" i="1"/>
  <c r="AJ45" i="1"/>
  <c r="AU45" i="1" s="1"/>
  <c r="AI45" i="1"/>
  <c r="AH45" i="1"/>
  <c r="AT45" i="1" s="1"/>
  <c r="AD45" i="1"/>
  <c r="AE45" i="1" s="1"/>
  <c r="AB45" i="1"/>
  <c r="AA45" i="1"/>
  <c r="Z45" i="1"/>
  <c r="W45" i="1" s="1"/>
  <c r="Y45" i="1"/>
  <c r="X45" i="1"/>
  <c r="R45" i="1"/>
  <c r="P45" i="1"/>
  <c r="O45" i="1"/>
  <c r="AC45" i="1" s="1"/>
  <c r="AU44" i="1"/>
  <c r="AS44" i="1"/>
  <c r="AO44" i="1"/>
  <c r="AN44" i="1"/>
  <c r="AM44" i="1"/>
  <c r="AL44" i="1"/>
  <c r="AJ44" i="1"/>
  <c r="AI44" i="1"/>
  <c r="AH44" i="1"/>
  <c r="AT44" i="1" s="1"/>
  <c r="AD44" i="1"/>
  <c r="AE44" i="1" s="1"/>
  <c r="AB44" i="1"/>
  <c r="AA44" i="1"/>
  <c r="Y44" i="1" s="1"/>
  <c r="Z44" i="1"/>
  <c r="W44" i="1" s="1"/>
  <c r="X44" i="1"/>
  <c r="R44" i="1"/>
  <c r="P44" i="1"/>
  <c r="O44" i="1"/>
  <c r="AC44" i="1" s="1"/>
  <c r="M44" i="1"/>
  <c r="AP44" i="1" s="1"/>
  <c r="AU43" i="1"/>
  <c r="AS43" i="1"/>
  <c r="AO43" i="1"/>
  <c r="AN43" i="1"/>
  <c r="AM43" i="1"/>
  <c r="AL43" i="1"/>
  <c r="AJ43" i="1"/>
  <c r="AI43" i="1"/>
  <c r="AH43" i="1"/>
  <c r="AT43" i="1" s="1"/>
  <c r="AD43" i="1"/>
  <c r="AE43" i="1" s="1"/>
  <c r="AB43" i="1"/>
  <c r="AA43" i="1"/>
  <c r="Z43" i="1"/>
  <c r="W43" i="1" s="1"/>
  <c r="Y43" i="1"/>
  <c r="X43" i="1"/>
  <c r="R43" i="1"/>
  <c r="P43" i="1"/>
  <c r="O43" i="1"/>
  <c r="AC43" i="1" s="1"/>
  <c r="M43" i="1"/>
  <c r="AP43" i="1" s="1"/>
  <c r="AU42" i="1"/>
  <c r="AS42" i="1"/>
  <c r="AO42" i="1"/>
  <c r="AN42" i="1"/>
  <c r="AM42" i="1"/>
  <c r="AL42" i="1"/>
  <c r="AJ42" i="1"/>
  <c r="AI42" i="1"/>
  <c r="AH42" i="1"/>
  <c r="AT42" i="1" s="1"/>
  <c r="AD42" i="1"/>
  <c r="AE42" i="1" s="1"/>
  <c r="AB42" i="1"/>
  <c r="AA42" i="1"/>
  <c r="Y42" i="1" s="1"/>
  <c r="Z42" i="1"/>
  <c r="W42" i="1" s="1"/>
  <c r="X42" i="1"/>
  <c r="R42" i="1"/>
  <c r="P42" i="1"/>
  <c r="O42" i="1"/>
  <c r="AC42" i="1" s="1"/>
  <c r="M42" i="1"/>
  <c r="AP42" i="1" s="1"/>
  <c r="AU41" i="1"/>
  <c r="AS41" i="1"/>
  <c r="AO41" i="1"/>
  <c r="AN41" i="1"/>
  <c r="AM41" i="1"/>
  <c r="AL41" i="1"/>
  <c r="AJ41" i="1"/>
  <c r="AI41" i="1"/>
  <c r="AH41" i="1"/>
  <c r="AT41" i="1" s="1"/>
  <c r="AD41" i="1"/>
  <c r="AE41" i="1" s="1"/>
  <c r="AB41" i="1"/>
  <c r="AA41" i="1"/>
  <c r="Z41" i="1"/>
  <c r="W41" i="1" s="1"/>
  <c r="Y41" i="1"/>
  <c r="X41" i="1"/>
  <c r="R41" i="1"/>
  <c r="P41" i="1"/>
  <c r="O41" i="1"/>
  <c r="AC41" i="1" s="1"/>
  <c r="M41" i="1"/>
  <c r="AP41" i="1" s="1"/>
  <c r="AU40" i="1"/>
  <c r="AS40" i="1"/>
  <c r="AO40" i="1"/>
  <c r="AN40" i="1"/>
  <c r="AM40" i="1"/>
  <c r="AL40" i="1"/>
  <c r="AJ40" i="1"/>
  <c r="AI40" i="1"/>
  <c r="AH40" i="1"/>
  <c r="AT40" i="1" s="1"/>
  <c r="AD40" i="1"/>
  <c r="AE40" i="1" s="1"/>
  <c r="AB40" i="1"/>
  <c r="AA40" i="1"/>
  <c r="Y40" i="1" s="1"/>
  <c r="Z40" i="1"/>
  <c r="W40" i="1" s="1"/>
  <c r="X40" i="1"/>
  <c r="R40" i="1"/>
  <c r="P40" i="1"/>
  <c r="O40" i="1"/>
  <c r="AC40" i="1" s="1"/>
  <c r="M40" i="1"/>
  <c r="AP40" i="1" s="1"/>
  <c r="AU39" i="1"/>
  <c r="AS39" i="1"/>
  <c r="AO39" i="1"/>
  <c r="AN39" i="1"/>
  <c r="AM39" i="1"/>
  <c r="AL39" i="1"/>
  <c r="AJ39" i="1"/>
  <c r="AI39" i="1"/>
  <c r="AH39" i="1"/>
  <c r="AT39" i="1" s="1"/>
  <c r="AD39" i="1"/>
  <c r="AE39" i="1" s="1"/>
  <c r="AB39" i="1"/>
  <c r="AA39" i="1"/>
  <c r="Z39" i="1"/>
  <c r="W39" i="1" s="1"/>
  <c r="Y39" i="1"/>
  <c r="X39" i="1"/>
  <c r="R39" i="1"/>
  <c r="P39" i="1"/>
  <c r="O39" i="1"/>
  <c r="AC39" i="1" s="1"/>
  <c r="M39" i="1"/>
  <c r="AP39" i="1" s="1"/>
  <c r="AU38" i="1"/>
  <c r="AS38" i="1"/>
  <c r="AO38" i="1"/>
  <c r="AN38" i="1"/>
  <c r="AM38" i="1"/>
  <c r="AL38" i="1"/>
  <c r="AJ38" i="1"/>
  <c r="AI38" i="1"/>
  <c r="AH38" i="1"/>
  <c r="AT38" i="1" s="1"/>
  <c r="AD38" i="1"/>
  <c r="AE38" i="1" s="1"/>
  <c r="AB38" i="1"/>
  <c r="AA38" i="1"/>
  <c r="Y38" i="1" s="1"/>
  <c r="Z38" i="1"/>
  <c r="W38" i="1" s="1"/>
  <c r="X38" i="1"/>
  <c r="R38" i="1"/>
  <c r="P38" i="1"/>
  <c r="O38" i="1"/>
  <c r="AC38" i="1" s="1"/>
  <c r="AU37" i="1"/>
  <c r="AS37" i="1"/>
  <c r="AO37" i="1"/>
  <c r="AN37" i="1"/>
  <c r="AM37" i="1"/>
  <c r="AL37" i="1"/>
  <c r="AJ37" i="1"/>
  <c r="AI37" i="1"/>
  <c r="AH37" i="1"/>
  <c r="AT37" i="1" s="1"/>
  <c r="AD37" i="1"/>
  <c r="AE37" i="1" s="1"/>
  <c r="AB37" i="1"/>
  <c r="AA37" i="1"/>
  <c r="Z37" i="1"/>
  <c r="W37" i="1" s="1"/>
  <c r="Y37" i="1"/>
  <c r="X37" i="1"/>
  <c r="R37" i="1"/>
  <c r="P37" i="1"/>
  <c r="O37" i="1"/>
  <c r="AC37" i="1" s="1"/>
  <c r="AU36" i="1"/>
  <c r="AS36" i="1"/>
  <c r="AO36" i="1"/>
  <c r="AN36" i="1"/>
  <c r="AM36" i="1"/>
  <c r="AL36" i="1"/>
  <c r="AJ36" i="1"/>
  <c r="AI36" i="1"/>
  <c r="AH36" i="1"/>
  <c r="AT36" i="1" s="1"/>
  <c r="AD36" i="1"/>
  <c r="AE36" i="1" s="1"/>
  <c r="AB36" i="1"/>
  <c r="AA36" i="1"/>
  <c r="Y36" i="1" s="1"/>
  <c r="Z36" i="1"/>
  <c r="W36" i="1" s="1"/>
  <c r="X36" i="1"/>
  <c r="R36" i="1"/>
  <c r="P36" i="1"/>
  <c r="O36" i="1"/>
  <c r="AC36" i="1" s="1"/>
  <c r="M36" i="1"/>
  <c r="AP36" i="1" s="1"/>
  <c r="AU35" i="1"/>
  <c r="AS35" i="1"/>
  <c r="AO35" i="1"/>
  <c r="AN35" i="1"/>
  <c r="AM35" i="1"/>
  <c r="AL35" i="1"/>
  <c r="AJ35" i="1"/>
  <c r="AI35" i="1"/>
  <c r="AH35" i="1"/>
  <c r="AT35" i="1" s="1"/>
  <c r="AD35" i="1"/>
  <c r="AE35" i="1" s="1"/>
  <c r="AB35" i="1"/>
  <c r="AA35" i="1"/>
  <c r="Z35" i="1"/>
  <c r="W35" i="1" s="1"/>
  <c r="Y35" i="1"/>
  <c r="X35" i="1"/>
  <c r="R35" i="1"/>
  <c r="P35" i="1"/>
  <c r="O35" i="1"/>
  <c r="AC35" i="1" s="1"/>
  <c r="M35" i="1"/>
  <c r="AP35" i="1" s="1"/>
  <c r="AU34" i="1"/>
  <c r="AS34" i="1"/>
  <c r="AO34" i="1"/>
  <c r="AN34" i="1"/>
  <c r="AM34" i="1"/>
  <c r="AL34" i="1"/>
  <c r="AJ34" i="1"/>
  <c r="AI34" i="1"/>
  <c r="AH34" i="1"/>
  <c r="AT34" i="1" s="1"/>
  <c r="AD34" i="1"/>
  <c r="AE34" i="1" s="1"/>
  <c r="AB34" i="1"/>
  <c r="AA34" i="1"/>
  <c r="Y34" i="1" s="1"/>
  <c r="Z34" i="1"/>
  <c r="W34" i="1" s="1"/>
  <c r="X34" i="1"/>
  <c r="R34" i="1"/>
  <c r="P34" i="1"/>
  <c r="O34" i="1"/>
  <c r="AC34" i="1" s="1"/>
  <c r="M34" i="1"/>
  <c r="AP34" i="1" s="1"/>
  <c r="AU33" i="1"/>
  <c r="AS33" i="1"/>
  <c r="AO33" i="1"/>
  <c r="AN33" i="1"/>
  <c r="AM33" i="1"/>
  <c r="AL33" i="1"/>
  <c r="AJ33" i="1"/>
  <c r="AI33" i="1"/>
  <c r="AH33" i="1"/>
  <c r="AT33" i="1" s="1"/>
  <c r="AD33" i="1"/>
  <c r="AE33" i="1" s="1"/>
  <c r="AB33" i="1"/>
  <c r="AA33" i="1"/>
  <c r="Z33" i="1"/>
  <c r="W33" i="1" s="1"/>
  <c r="Y33" i="1"/>
  <c r="X33" i="1"/>
  <c r="R33" i="1"/>
  <c r="P33" i="1"/>
  <c r="O33" i="1"/>
  <c r="AC33" i="1" s="1"/>
  <c r="AS32" i="1"/>
  <c r="AO32" i="1"/>
  <c r="AN32" i="1"/>
  <c r="AM32" i="1"/>
  <c r="AL32" i="1"/>
  <c r="AJ32" i="1"/>
  <c r="AU32" i="1" s="1"/>
  <c r="AI32" i="1"/>
  <c r="AH32" i="1"/>
  <c r="AT32" i="1" s="1"/>
  <c r="AE32" i="1"/>
  <c r="AD32" i="1"/>
  <c r="AB32" i="1"/>
  <c r="AA32" i="1"/>
  <c r="Y32" i="1" s="1"/>
  <c r="Z32" i="1"/>
  <c r="W32" i="1" s="1"/>
  <c r="R32" i="1"/>
  <c r="P32" i="1"/>
  <c r="O32" i="1"/>
  <c r="AC32" i="1" s="1"/>
  <c r="AU31" i="1"/>
  <c r="AS31" i="1"/>
  <c r="AO31" i="1"/>
  <c r="AN31" i="1"/>
  <c r="AM31" i="1"/>
  <c r="AL31" i="1"/>
  <c r="AJ31" i="1"/>
  <c r="AI31" i="1"/>
  <c r="AH31" i="1"/>
  <c r="AT31" i="1" s="1"/>
  <c r="AD31" i="1"/>
  <c r="AE31" i="1" s="1"/>
  <c r="AC31" i="1"/>
  <c r="AB31" i="1"/>
  <c r="AA31" i="1"/>
  <c r="Y31" i="1"/>
  <c r="X31" i="1"/>
  <c r="R31" i="1"/>
  <c r="P31" i="1"/>
  <c r="O31" i="1"/>
  <c r="M31" i="1"/>
  <c r="AP31" i="1" s="1"/>
  <c r="AS30" i="1"/>
  <c r="AO30" i="1"/>
  <c r="AN30" i="1"/>
  <c r="AM30" i="1"/>
  <c r="AL30" i="1"/>
  <c r="AJ30" i="1"/>
  <c r="AU30" i="1" s="1"/>
  <c r="AI30" i="1"/>
  <c r="AH30" i="1"/>
  <c r="AT30" i="1" s="1"/>
  <c r="AE30" i="1"/>
  <c r="AD30" i="1"/>
  <c r="AB30" i="1"/>
  <c r="AA30" i="1"/>
  <c r="Z30" i="1" s="1"/>
  <c r="W30" i="1" s="1"/>
  <c r="X30" i="1"/>
  <c r="R30" i="1"/>
  <c r="P30" i="1"/>
  <c r="O30" i="1"/>
  <c r="M30" i="1" s="1"/>
  <c r="AP30" i="1" s="1"/>
  <c r="AU29" i="1"/>
  <c r="AS29" i="1"/>
  <c r="AO29" i="1"/>
  <c r="AN29" i="1"/>
  <c r="AM29" i="1"/>
  <c r="AL29" i="1"/>
  <c r="AJ29" i="1"/>
  <c r="AI29" i="1"/>
  <c r="AH29" i="1"/>
  <c r="AT29" i="1" s="1"/>
  <c r="AD29" i="1"/>
  <c r="AE29" i="1" s="1"/>
  <c r="AC29" i="1"/>
  <c r="AB29" i="1"/>
  <c r="AA29" i="1"/>
  <c r="X29" i="1" s="1"/>
  <c r="Z29" i="1"/>
  <c r="W29" i="1" s="1"/>
  <c r="Y29" i="1"/>
  <c r="R29" i="1"/>
  <c r="P29" i="1"/>
  <c r="O29" i="1"/>
  <c r="M29" i="1"/>
  <c r="AP29" i="1" s="1"/>
  <c r="AS28" i="1"/>
  <c r="AO28" i="1"/>
  <c r="AN28" i="1"/>
  <c r="AM28" i="1"/>
  <c r="AL28" i="1"/>
  <c r="AJ28" i="1"/>
  <c r="AU28" i="1" s="1"/>
  <c r="AI28" i="1"/>
  <c r="AH28" i="1"/>
  <c r="AT28" i="1" s="1"/>
  <c r="AE28" i="1"/>
  <c r="AD28" i="1"/>
  <c r="AB28" i="1"/>
  <c r="AA28" i="1"/>
  <c r="Z28" i="1" s="1"/>
  <c r="W28" i="1" s="1"/>
  <c r="X28" i="1"/>
  <c r="R28" i="1"/>
  <c r="P28" i="1"/>
  <c r="O28" i="1"/>
  <c r="M28" i="1" s="1"/>
  <c r="AP28" i="1" s="1"/>
  <c r="AU27" i="1"/>
  <c r="AS27" i="1"/>
  <c r="AO27" i="1"/>
  <c r="AN27" i="1"/>
  <c r="AM27" i="1"/>
  <c r="AL27" i="1"/>
  <c r="AJ27" i="1"/>
  <c r="AI27" i="1"/>
  <c r="AH27" i="1"/>
  <c r="AT27" i="1" s="1"/>
  <c r="AD27" i="1"/>
  <c r="AE27" i="1" s="1"/>
  <c r="AC27" i="1"/>
  <c r="AB27" i="1"/>
  <c r="AA27" i="1"/>
  <c r="X27" i="1" s="1"/>
  <c r="Z27" i="1"/>
  <c r="W27" i="1" s="1"/>
  <c r="Y27" i="1"/>
  <c r="R27" i="1"/>
  <c r="P27" i="1"/>
  <c r="O27" i="1"/>
  <c r="M27" i="1"/>
  <c r="AP27" i="1" s="1"/>
  <c r="AS26" i="1"/>
  <c r="AO26" i="1"/>
  <c r="AN26" i="1"/>
  <c r="AM26" i="1"/>
  <c r="AL26" i="1"/>
  <c r="AJ26" i="1"/>
  <c r="AU26" i="1" s="1"/>
  <c r="AI26" i="1"/>
  <c r="AH26" i="1"/>
  <c r="AT26" i="1" s="1"/>
  <c r="AE26" i="1"/>
  <c r="AD26" i="1"/>
  <c r="AB26" i="1"/>
  <c r="AA26" i="1"/>
  <c r="Z26" i="1" s="1"/>
  <c r="W26" i="1" s="1"/>
  <c r="R26" i="1"/>
  <c r="P26" i="1"/>
  <c r="O26" i="1"/>
  <c r="M26" i="1" s="1"/>
  <c r="AP26" i="1" s="1"/>
  <c r="AS25" i="1"/>
  <c r="AO25" i="1"/>
  <c r="AN25" i="1"/>
  <c r="AM25" i="1"/>
  <c r="AL25" i="1"/>
  <c r="AJ25" i="1"/>
  <c r="AU25" i="1" s="1"/>
  <c r="AI25" i="1"/>
  <c r="AH25" i="1"/>
  <c r="AT25" i="1" s="1"/>
  <c r="AD25" i="1"/>
  <c r="AE25" i="1" s="1"/>
  <c r="AC25" i="1"/>
  <c r="AB25" i="1"/>
  <c r="AA25" i="1"/>
  <c r="X25" i="1" s="1"/>
  <c r="Z25" i="1"/>
  <c r="W25" i="1" s="1"/>
  <c r="Y25" i="1"/>
  <c r="R25" i="1"/>
  <c r="P25" i="1"/>
  <c r="O25" i="1"/>
  <c r="M25" i="1"/>
  <c r="AP25" i="1" s="1"/>
  <c r="AS24" i="1"/>
  <c r="AO24" i="1"/>
  <c r="AN24" i="1"/>
  <c r="AM24" i="1"/>
  <c r="AL24" i="1"/>
  <c r="AJ24" i="1"/>
  <c r="AU24" i="1" s="1"/>
  <c r="AI24" i="1"/>
  <c r="AH24" i="1"/>
  <c r="AT24" i="1" s="1"/>
  <c r="AE24" i="1"/>
  <c r="AD24" i="1"/>
  <c r="AB24" i="1"/>
  <c r="AA24" i="1"/>
  <c r="Z24" i="1" s="1"/>
  <c r="W24" i="1" s="1"/>
  <c r="R24" i="1"/>
  <c r="P24" i="1"/>
  <c r="O24" i="1"/>
  <c r="M24" i="1" s="1"/>
  <c r="AP24" i="1" s="1"/>
  <c r="AS23" i="1"/>
  <c r="AO23" i="1"/>
  <c r="AN23" i="1"/>
  <c r="AM23" i="1"/>
  <c r="AL23" i="1"/>
  <c r="AJ23" i="1"/>
  <c r="AU23" i="1" s="1"/>
  <c r="AI23" i="1"/>
  <c r="AH23" i="1"/>
  <c r="AT23" i="1" s="1"/>
  <c r="AD23" i="1"/>
  <c r="AE23" i="1" s="1"/>
  <c r="AC23" i="1"/>
  <c r="AB23" i="1"/>
  <c r="AA23" i="1"/>
  <c r="X23" i="1" s="1"/>
  <c r="Y23" i="1"/>
  <c r="R23" i="1"/>
  <c r="P23" i="1"/>
  <c r="O23" i="1"/>
  <c r="M23" i="1"/>
  <c r="AP23" i="1" s="1"/>
  <c r="AS22" i="1"/>
  <c r="AO22" i="1"/>
  <c r="AN22" i="1"/>
  <c r="AM22" i="1"/>
  <c r="AL22" i="1"/>
  <c r="AJ22" i="1"/>
  <c r="AU22" i="1" s="1"/>
  <c r="AI22" i="1"/>
  <c r="AH22" i="1"/>
  <c r="AT22" i="1" s="1"/>
  <c r="AE22" i="1"/>
  <c r="AD22" i="1"/>
  <c r="AC22" i="1"/>
  <c r="AB22" i="1"/>
  <c r="AA22" i="1"/>
  <c r="Z22" i="1" s="1"/>
  <c r="W22" i="1" s="1"/>
  <c r="R22" i="1"/>
  <c r="P22" i="1"/>
  <c r="O22" i="1"/>
  <c r="AU21" i="1"/>
  <c r="AS21" i="1"/>
  <c r="AO21" i="1"/>
  <c r="AN21" i="1"/>
  <c r="AM21" i="1"/>
  <c r="AL21" i="1"/>
  <c r="AJ21" i="1"/>
  <c r="AI21" i="1"/>
  <c r="AH21" i="1"/>
  <c r="AT21" i="1" s="1"/>
  <c r="AD21" i="1"/>
  <c r="AE21" i="1" s="1"/>
  <c r="AC21" i="1"/>
  <c r="AB21" i="1"/>
  <c r="AA21" i="1"/>
  <c r="R21" i="1"/>
  <c r="P21" i="1"/>
  <c r="O21" i="1"/>
  <c r="M21" i="1"/>
  <c r="AP21" i="1" s="1"/>
  <c r="AT20" i="1"/>
  <c r="AS20" i="1"/>
  <c r="AO20" i="1"/>
  <c r="AN20" i="1"/>
  <c r="AM20" i="1"/>
  <c r="AL20" i="1"/>
  <c r="AJ20" i="1"/>
  <c r="AU20" i="1" s="1"/>
  <c r="AI20" i="1"/>
  <c r="AH20" i="1"/>
  <c r="AE20" i="1"/>
  <c r="AD20" i="1"/>
  <c r="AB20" i="1"/>
  <c r="AA20" i="1"/>
  <c r="Y20" i="1"/>
  <c r="R20" i="1"/>
  <c r="P20" i="1"/>
  <c r="O20" i="1"/>
  <c r="M20" i="1" s="1"/>
  <c r="AP20" i="1" s="1"/>
  <c r="AU19" i="1"/>
  <c r="AT19" i="1"/>
  <c r="AS19" i="1"/>
  <c r="AP19" i="1"/>
  <c r="AO19" i="1"/>
  <c r="AN19" i="1"/>
  <c r="AM19" i="1"/>
  <c r="AL19" i="1"/>
  <c r="AJ19" i="1"/>
  <c r="AI19" i="1"/>
  <c r="AH19" i="1"/>
  <c r="AE19" i="1"/>
  <c r="AD19" i="1"/>
  <c r="AC19" i="1"/>
  <c r="AB19" i="1"/>
  <c r="AA19" i="1"/>
  <c r="X19" i="1" s="1"/>
  <c r="R19" i="1"/>
  <c r="P19" i="1"/>
  <c r="O19" i="1"/>
  <c r="M19" i="1"/>
  <c r="AS18" i="1"/>
  <c r="AO18" i="1"/>
  <c r="AN18" i="1"/>
  <c r="AM18" i="1"/>
  <c r="AL18" i="1"/>
  <c r="AJ18" i="1"/>
  <c r="AU18" i="1" s="1"/>
  <c r="AI18" i="1"/>
  <c r="AH18" i="1"/>
  <c r="AT18" i="1" s="1"/>
  <c r="AE18" i="1"/>
  <c r="AD18" i="1"/>
  <c r="AB18" i="1"/>
  <c r="AA18" i="1"/>
  <c r="X18" i="1"/>
  <c r="R18" i="1"/>
  <c r="P18" i="1"/>
  <c r="O18" i="1"/>
  <c r="AU17" i="1"/>
  <c r="AS17" i="1"/>
  <c r="AO17" i="1"/>
  <c r="AN17" i="1"/>
  <c r="AM17" i="1"/>
  <c r="AL17" i="1"/>
  <c r="AJ17" i="1"/>
  <c r="AI17" i="1"/>
  <c r="AH17" i="1"/>
  <c r="AT17" i="1" s="1"/>
  <c r="AD17" i="1"/>
  <c r="AE17" i="1" s="1"/>
  <c r="AB17" i="1"/>
  <c r="AA17" i="1"/>
  <c r="Y17" i="1" s="1"/>
  <c r="Z17" i="1"/>
  <c r="W17" i="1" s="1"/>
  <c r="R17" i="1"/>
  <c r="P17" i="1"/>
  <c r="O17" i="1"/>
  <c r="AC17" i="1" s="1"/>
  <c r="M17" i="1"/>
  <c r="AP17" i="1" s="1"/>
  <c r="AU16" i="1"/>
  <c r="AS16" i="1"/>
  <c r="AO16" i="1"/>
  <c r="AN16" i="1"/>
  <c r="AM16" i="1"/>
  <c r="AL16" i="1"/>
  <c r="AJ16" i="1"/>
  <c r="AI16" i="1"/>
  <c r="AH16" i="1"/>
  <c r="AT16" i="1" s="1"/>
  <c r="AD16" i="1"/>
  <c r="AE16" i="1" s="1"/>
  <c r="AB16" i="1"/>
  <c r="AA16" i="1"/>
  <c r="Y16" i="1"/>
  <c r="X16" i="1"/>
  <c r="R16" i="1"/>
  <c r="P16" i="1"/>
  <c r="O16" i="1"/>
  <c r="M16" i="1" s="1"/>
  <c r="AP16" i="1" s="1"/>
  <c r="AU15" i="1"/>
  <c r="AS15" i="1"/>
  <c r="AO15" i="1"/>
  <c r="AN15" i="1"/>
  <c r="AM15" i="1"/>
  <c r="AL15" i="1"/>
  <c r="AJ15" i="1"/>
  <c r="AI15" i="1"/>
  <c r="AH15" i="1"/>
  <c r="AT15" i="1" s="1"/>
  <c r="AD15" i="1"/>
  <c r="AE15" i="1" s="1"/>
  <c r="AB15" i="1"/>
  <c r="AA15" i="1"/>
  <c r="Y15" i="1" s="1"/>
  <c r="Z15" i="1"/>
  <c r="W15" i="1" s="1"/>
  <c r="R15" i="1"/>
  <c r="P15" i="1"/>
  <c r="O15" i="1"/>
  <c r="AC15" i="1" s="1"/>
  <c r="M15" i="1"/>
  <c r="AP15" i="1" s="1"/>
  <c r="AU14" i="1"/>
  <c r="AS14" i="1"/>
  <c r="AO14" i="1"/>
  <c r="AN14" i="1"/>
  <c r="AM14" i="1"/>
  <c r="AL14" i="1"/>
  <c r="AJ14" i="1"/>
  <c r="AI14" i="1"/>
  <c r="AH14" i="1"/>
  <c r="AT14" i="1" s="1"/>
  <c r="AD14" i="1"/>
  <c r="AE14" i="1" s="1"/>
  <c r="AB14" i="1"/>
  <c r="AA14" i="1"/>
  <c r="Y14" i="1"/>
  <c r="X14" i="1"/>
  <c r="R14" i="1"/>
  <c r="P14" i="1"/>
  <c r="O14" i="1"/>
  <c r="M14" i="1" s="1"/>
  <c r="AP14" i="1" s="1"/>
  <c r="AU13" i="1"/>
  <c r="AS13" i="1"/>
  <c r="AO13" i="1"/>
  <c r="AN13" i="1"/>
  <c r="AM13" i="1"/>
  <c r="AL13" i="1"/>
  <c r="AJ13" i="1"/>
  <c r="AI13" i="1"/>
  <c r="AH13" i="1"/>
  <c r="AT13" i="1" s="1"/>
  <c r="AD13" i="1"/>
  <c r="AE13" i="1" s="1"/>
  <c r="AB13" i="1"/>
  <c r="AA13" i="1"/>
  <c r="Y13" i="1" s="1"/>
  <c r="Z13" i="1"/>
  <c r="W13" i="1" s="1"/>
  <c r="R13" i="1"/>
  <c r="P13" i="1"/>
  <c r="O13" i="1"/>
  <c r="AC13" i="1" s="1"/>
  <c r="M13" i="1"/>
  <c r="AP13" i="1" s="1"/>
  <c r="AS12" i="1"/>
  <c r="AO12" i="1"/>
  <c r="AN12" i="1"/>
  <c r="AM12" i="1"/>
  <c r="AL12" i="1"/>
  <c r="AJ12" i="1"/>
  <c r="AU12" i="1" s="1"/>
  <c r="AI12" i="1"/>
  <c r="AH12" i="1"/>
  <c r="AT12" i="1" s="1"/>
  <c r="AD12" i="1"/>
  <c r="AE12" i="1" s="1"/>
  <c r="AB12" i="1"/>
  <c r="AA12" i="1"/>
  <c r="Y12" i="1"/>
  <c r="X12" i="1"/>
  <c r="R12" i="1"/>
  <c r="P12" i="1"/>
  <c r="O12" i="1"/>
  <c r="M12" i="1" s="1"/>
  <c r="AP12" i="1" s="1"/>
  <c r="AU11" i="1"/>
  <c r="AS11" i="1"/>
  <c r="AO11" i="1"/>
  <c r="AN11" i="1"/>
  <c r="AM11" i="1"/>
  <c r="AL11" i="1"/>
  <c r="AJ11" i="1"/>
  <c r="AI11" i="1"/>
  <c r="AH11" i="1"/>
  <c r="AT11" i="1" s="1"/>
  <c r="AD11" i="1"/>
  <c r="AE11" i="1" s="1"/>
  <c r="W7" i="1" s="1"/>
  <c r="X7" i="1" s="1"/>
  <c r="P8" i="1" s="1"/>
  <c r="AC11" i="1"/>
  <c r="AB11" i="1"/>
  <c r="AA11" i="1"/>
  <c r="Y11" i="1" s="1"/>
  <c r="Z11" i="1"/>
  <c r="W11" i="1" s="1"/>
  <c r="R11" i="1"/>
  <c r="P11" i="1"/>
  <c r="O11" i="1"/>
  <c r="M11" i="1"/>
  <c r="AP11" i="1" s="1"/>
  <c r="AS10" i="1"/>
  <c r="AO10" i="1"/>
  <c r="AN10" i="1"/>
  <c r="AM10" i="1"/>
  <c r="AL10" i="1"/>
  <c r="AJ10" i="1"/>
  <c r="AU10" i="1" s="1"/>
  <c r="AI10" i="1"/>
  <c r="AH10" i="1"/>
  <c r="AT10" i="1" s="1"/>
  <c r="AE10" i="1"/>
  <c r="AD10" i="1"/>
  <c r="AB10" i="1"/>
  <c r="P4" i="1" s="1"/>
  <c r="AA10" i="1"/>
  <c r="Z10" i="1" s="1"/>
  <c r="W10" i="1" s="1"/>
  <c r="O10" i="1" s="1"/>
  <c r="Y10" i="1"/>
  <c r="X10" i="1"/>
  <c r="R10" i="1"/>
  <c r="J8" i="1"/>
  <c r="Y7" i="1"/>
  <c r="I7" i="1"/>
  <c r="J7" i="1" s="1"/>
  <c r="M6" i="1"/>
  <c r="M5" i="1"/>
  <c r="F5" i="1"/>
  <c r="M4" i="1"/>
  <c r="P3" i="1"/>
  <c r="M3" i="1"/>
  <c r="K1" i="1"/>
  <c r="H1" i="1"/>
  <c r="D1" i="1"/>
  <c r="M10" i="1" l="1"/>
  <c r="AP10" i="1" s="1"/>
  <c r="AC10" i="1"/>
  <c r="AK10" i="1"/>
  <c r="AC18" i="1"/>
  <c r="AC12" i="1"/>
  <c r="AC14" i="1"/>
  <c r="AC16" i="1"/>
  <c r="Y18" i="1"/>
  <c r="Z20" i="1"/>
  <c r="W20" i="1" s="1"/>
  <c r="Y21" i="1"/>
  <c r="X11" i="1"/>
  <c r="Z12" i="1"/>
  <c r="W12" i="1" s="1"/>
  <c r="X13" i="1"/>
  <c r="Z14" i="1"/>
  <c r="W14" i="1" s="1"/>
  <c r="X15" i="1"/>
  <c r="Z16" i="1"/>
  <c r="W16" i="1" s="1"/>
  <c r="X17" i="1"/>
  <c r="M18" i="1"/>
  <c r="AP18" i="1" s="1"/>
  <c r="Z18" i="1"/>
  <c r="W18" i="1" s="1"/>
  <c r="Y19" i="1"/>
  <c r="Z21" i="1"/>
  <c r="W21" i="1" s="1"/>
  <c r="X22" i="1"/>
  <c r="Z19" i="1"/>
  <c r="W19" i="1" s="1"/>
  <c r="X20" i="1"/>
  <c r="AC20" i="1"/>
  <c r="X21" i="1"/>
  <c r="M22" i="1"/>
  <c r="AP22" i="1" s="1"/>
  <c r="Y22" i="1"/>
  <c r="Z23" i="1"/>
  <c r="W23" i="1" s="1"/>
  <c r="X24" i="1"/>
  <c r="X26" i="1"/>
  <c r="Y24" i="1"/>
  <c r="AC24" i="1"/>
  <c r="Y26" i="1"/>
  <c r="AC26" i="1"/>
  <c r="Y28" i="1"/>
  <c r="AC28" i="1"/>
  <c r="Y30" i="1"/>
  <c r="AC30" i="1"/>
  <c r="M32" i="1"/>
  <c r="AP32" i="1" s="1"/>
  <c r="Z31" i="1"/>
  <c r="W31" i="1" s="1"/>
  <c r="X32" i="1"/>
  <c r="M33" i="1"/>
  <c r="AP33" i="1" s="1"/>
  <c r="M37" i="1"/>
  <c r="AP37" i="1" s="1"/>
  <c r="M38" i="1"/>
  <c r="AP38" i="1" s="1"/>
  <c r="M45" i="1"/>
  <c r="AP45" i="1" s="1"/>
  <c r="AR10" i="1" l="1"/>
  <c r="AQ10" i="1"/>
  <c r="AG10" i="1" s="1"/>
  <c r="L10" i="1" s="1"/>
  <c r="N10" i="1" s="1"/>
  <c r="P5" i="1"/>
  <c r="AK11" i="1"/>
  <c r="S6" i="1" l="1"/>
  <c r="P6" i="1"/>
  <c r="AQ11" i="1"/>
  <c r="AR11" i="1"/>
  <c r="AK12" i="1"/>
  <c r="R7" i="1" l="1"/>
  <c r="R8" i="1" s="1"/>
  <c r="S7" i="1" s="1"/>
  <c r="S8" i="1" s="1"/>
  <c r="AR12" i="1"/>
  <c r="AQ12" i="1"/>
  <c r="AK13" i="1"/>
  <c r="AG11" i="1"/>
  <c r="L11" i="1" s="1"/>
  <c r="N11" i="1" s="1"/>
  <c r="AQ13" i="1" l="1"/>
  <c r="AG13" i="1" s="1"/>
  <c r="L13" i="1" s="1"/>
  <c r="N13" i="1" s="1"/>
  <c r="AR13" i="1"/>
  <c r="AK14" i="1"/>
  <c r="T10" i="1"/>
  <c r="AG12" i="1"/>
  <c r="L12" i="1" s="1"/>
  <c r="N12" i="1" s="1"/>
  <c r="T11" i="1" s="1"/>
  <c r="T7" i="1"/>
  <c r="T8" i="1" s="1"/>
  <c r="U7" i="1" s="1"/>
  <c r="U8" i="1" s="1"/>
  <c r="P7" i="1" l="1"/>
  <c r="AR14" i="1"/>
  <c r="AQ14" i="1"/>
  <c r="AK15" i="1"/>
  <c r="U10" i="1"/>
  <c r="V10" i="1"/>
  <c r="S10" i="1" s="1"/>
  <c r="P10" i="1" s="1"/>
  <c r="T12" i="1"/>
  <c r="U11" i="1"/>
  <c r="AG14" i="1" l="1"/>
  <c r="L14" i="1" s="1"/>
  <c r="N14" i="1" s="1"/>
  <c r="AQ15" i="1"/>
  <c r="AR15" i="1"/>
  <c r="AK16" i="1"/>
  <c r="U12" i="1" l="1"/>
  <c r="T13" i="1"/>
  <c r="V12" i="1"/>
  <c r="S12" i="1" s="1"/>
  <c r="V11" i="1"/>
  <c r="S11" i="1" s="1"/>
  <c r="AR16" i="1"/>
  <c r="AQ16" i="1"/>
  <c r="AK17" i="1"/>
  <c r="AG15" i="1"/>
  <c r="L15" i="1" s="1"/>
  <c r="N15" i="1" s="1"/>
  <c r="U13" i="1" s="1"/>
  <c r="AG16" i="1" l="1"/>
  <c r="L16" i="1" s="1"/>
  <c r="N16" i="1" s="1"/>
  <c r="V13" i="1"/>
  <c r="S13" i="1" s="1"/>
  <c r="AQ17" i="1"/>
  <c r="AR17" i="1"/>
  <c r="AK18" i="1"/>
  <c r="T15" i="1"/>
  <c r="T14" i="1"/>
  <c r="AG17" i="1" l="1"/>
  <c r="L17" i="1" s="1"/>
  <c r="N17" i="1" s="1"/>
  <c r="T16" i="1" s="1"/>
  <c r="AQ18" i="1"/>
  <c r="AR18" i="1"/>
  <c r="AK19" i="1"/>
  <c r="U14" i="1"/>
  <c r="AR19" i="1" l="1"/>
  <c r="AQ19" i="1"/>
  <c r="AK20" i="1"/>
  <c r="U16" i="1"/>
  <c r="AG18" i="1"/>
  <c r="L18" i="1" s="1"/>
  <c r="N18" i="1" s="1"/>
  <c r="V14" i="1"/>
  <c r="S14" i="1" s="1"/>
  <c r="V15" i="1"/>
  <c r="S15" i="1" s="1"/>
  <c r="U15" i="1"/>
  <c r="AQ20" i="1" l="1"/>
  <c r="AR20" i="1"/>
  <c r="AK21" i="1"/>
  <c r="T17" i="1"/>
  <c r="AG19" i="1"/>
  <c r="L19" i="1" s="1"/>
  <c r="N19" i="1" s="1"/>
  <c r="U17" i="1" l="1"/>
  <c r="V16" i="1"/>
  <c r="S16" i="1" s="1"/>
  <c r="T18" i="1"/>
  <c r="AR21" i="1"/>
  <c r="AQ21" i="1"/>
  <c r="AG21" i="1" s="1"/>
  <c r="L21" i="1" s="1"/>
  <c r="N21" i="1" s="1"/>
  <c r="AK22" i="1"/>
  <c r="AG20" i="1"/>
  <c r="L20" i="1" s="1"/>
  <c r="N20" i="1" s="1"/>
  <c r="T20" i="1" l="1"/>
  <c r="U18" i="1"/>
  <c r="V17" i="1"/>
  <c r="S17" i="1" s="1"/>
  <c r="T19" i="1"/>
  <c r="V18" i="1"/>
  <c r="S18" i="1" s="1"/>
  <c r="AQ22" i="1"/>
  <c r="AR22" i="1"/>
  <c r="AK23" i="1"/>
  <c r="U19" i="1"/>
  <c r="AG22" i="1" l="1"/>
  <c r="L22" i="1" s="1"/>
  <c r="N22" i="1" s="1"/>
  <c r="AR23" i="1"/>
  <c r="AQ23" i="1"/>
  <c r="AK24" i="1"/>
  <c r="AQ24" i="1" l="1"/>
  <c r="AR24" i="1"/>
  <c r="AK25" i="1"/>
  <c r="AG23" i="1"/>
  <c r="L23" i="1" s="1"/>
  <c r="N23" i="1" s="1"/>
  <c r="U20" i="1"/>
  <c r="V19" i="1"/>
  <c r="S19" i="1" s="1"/>
  <c r="V20" i="1"/>
  <c r="S20" i="1" s="1"/>
  <c r="T21" i="1"/>
  <c r="AR25" i="1" l="1"/>
  <c r="AQ25" i="1"/>
  <c r="AK26" i="1"/>
  <c r="U21" i="1"/>
  <c r="T22" i="1"/>
  <c r="AG24" i="1"/>
  <c r="L24" i="1" s="1"/>
  <c r="N24" i="1" s="1"/>
  <c r="U22" i="1" s="1"/>
  <c r="V21" i="1" l="1"/>
  <c r="S21" i="1" s="1"/>
  <c r="AQ26" i="1"/>
  <c r="AR26" i="1"/>
  <c r="AK27" i="1"/>
  <c r="AG25" i="1"/>
  <c r="L25" i="1" s="1"/>
  <c r="N25" i="1" s="1"/>
  <c r="T24" i="1" s="1"/>
  <c r="T23" i="1"/>
  <c r="U23" i="1" l="1"/>
  <c r="AR27" i="1"/>
  <c r="AQ27" i="1"/>
  <c r="AG27" i="1" s="1"/>
  <c r="L27" i="1" s="1"/>
  <c r="N27" i="1" s="1"/>
  <c r="AK28" i="1"/>
  <c r="V22" i="1"/>
  <c r="S22" i="1" s="1"/>
  <c r="AG26" i="1"/>
  <c r="L26" i="1" s="1"/>
  <c r="N26" i="1" s="1"/>
  <c r="T26" i="1" l="1"/>
  <c r="T25" i="1"/>
  <c r="V23" i="1"/>
  <c r="S23" i="1" s="1"/>
  <c r="V24" i="1"/>
  <c r="S24" i="1" s="1"/>
  <c r="U25" i="1"/>
  <c r="U24" i="1"/>
  <c r="AQ28" i="1"/>
  <c r="AG28" i="1" s="1"/>
  <c r="L28" i="1" s="1"/>
  <c r="N28" i="1" s="1"/>
  <c r="AR28" i="1"/>
  <c r="AK29" i="1"/>
  <c r="U26" i="1" l="1"/>
  <c r="T27" i="1"/>
  <c r="AR29" i="1"/>
  <c r="AQ29" i="1"/>
  <c r="AK30" i="1"/>
  <c r="V25" i="1"/>
  <c r="S25" i="1" s="1"/>
  <c r="AQ30" i="1" l="1"/>
  <c r="AK31" i="1"/>
  <c r="AR30" i="1"/>
  <c r="AG29" i="1"/>
  <c r="L29" i="1" s="1"/>
  <c r="N29" i="1" s="1"/>
  <c r="AG30" i="1" l="1"/>
  <c r="L30" i="1" s="1"/>
  <c r="N30" i="1" s="1"/>
  <c r="V26" i="1"/>
  <c r="S26" i="1" s="1"/>
  <c r="T28" i="1"/>
  <c r="U27" i="1"/>
  <c r="AR31" i="1"/>
  <c r="AQ31" i="1"/>
  <c r="AK32" i="1"/>
  <c r="T30" i="1" l="1"/>
  <c r="AG31" i="1"/>
  <c r="L31" i="1" s="1"/>
  <c r="N31" i="1" s="1"/>
  <c r="U29" i="1"/>
  <c r="V27" i="1"/>
  <c r="S27" i="1" s="1"/>
  <c r="V28" i="1"/>
  <c r="S28" i="1" s="1"/>
  <c r="T29" i="1"/>
  <c r="AR32" i="1"/>
  <c r="AQ32" i="1"/>
  <c r="AG32" i="1" s="1"/>
  <c r="L32" i="1" s="1"/>
  <c r="N32" i="1" s="1"/>
  <c r="AK33" i="1"/>
  <c r="U28" i="1"/>
  <c r="AR33" i="1" l="1"/>
  <c r="AQ33" i="1"/>
  <c r="AK34" i="1"/>
  <c r="T31" i="1"/>
  <c r="V29" i="1"/>
  <c r="S29" i="1" s="1"/>
  <c r="U30" i="1"/>
  <c r="AR34" i="1" l="1"/>
  <c r="AQ34" i="1"/>
  <c r="AK35" i="1"/>
  <c r="AG33" i="1"/>
  <c r="L33" i="1" s="1"/>
  <c r="N33" i="1" s="1"/>
  <c r="U31" i="1" l="1"/>
  <c r="V30" i="1"/>
  <c r="S30" i="1" s="1"/>
  <c r="T32" i="1"/>
  <c r="AR35" i="1"/>
  <c r="AQ35" i="1"/>
  <c r="AG35" i="1" s="1"/>
  <c r="L35" i="1" s="1"/>
  <c r="N35" i="1" s="1"/>
  <c r="AK36" i="1"/>
  <c r="AG34" i="1"/>
  <c r="L34" i="1" s="1"/>
  <c r="N34" i="1" s="1"/>
  <c r="T34" i="1" l="1"/>
  <c r="U32" i="1"/>
  <c r="T33" i="1"/>
  <c r="AR36" i="1"/>
  <c r="AQ36" i="1"/>
  <c r="AG36" i="1" s="1"/>
  <c r="L36" i="1" s="1"/>
  <c r="N36" i="1" s="1"/>
  <c r="AK37" i="1"/>
  <c r="V31" i="1"/>
  <c r="S31" i="1" s="1"/>
  <c r="U33" i="1"/>
  <c r="V32" i="1"/>
  <c r="S32" i="1" s="1"/>
  <c r="U34" i="1" l="1"/>
  <c r="T35" i="1"/>
  <c r="AR37" i="1"/>
  <c r="AQ37" i="1"/>
  <c r="AG37" i="1" s="1"/>
  <c r="L37" i="1" s="1"/>
  <c r="N37" i="1" s="1"/>
  <c r="V34" i="1" s="1"/>
  <c r="S34" i="1" s="1"/>
  <c r="AK38" i="1"/>
  <c r="V33" i="1"/>
  <c r="S33" i="1" s="1"/>
  <c r="U35" i="1" l="1"/>
  <c r="AR38" i="1"/>
  <c r="AQ38" i="1"/>
  <c r="AK39" i="1"/>
  <c r="T36" i="1"/>
  <c r="AG38" i="1" l="1"/>
  <c r="L38" i="1" s="1"/>
  <c r="N38" i="1" s="1"/>
  <c r="AR39" i="1"/>
  <c r="AQ39" i="1"/>
  <c r="AG39" i="1" s="1"/>
  <c r="L39" i="1" s="1"/>
  <c r="N39" i="1" s="1"/>
  <c r="AK40" i="1"/>
  <c r="T38" i="1" l="1"/>
  <c r="U36" i="1"/>
  <c r="U37" i="1"/>
  <c r="V35" i="1"/>
  <c r="S35" i="1" s="1"/>
  <c r="T37" i="1"/>
  <c r="V36" i="1"/>
  <c r="S36" i="1" s="1"/>
  <c r="AR40" i="1"/>
  <c r="AQ40" i="1"/>
  <c r="AG40" i="1" s="1"/>
  <c r="L40" i="1" s="1"/>
  <c r="N40" i="1" s="1"/>
  <c r="U38" i="1" s="1"/>
  <c r="AK41" i="1"/>
  <c r="T39" i="1" l="1"/>
  <c r="V37" i="1"/>
  <c r="S37" i="1" s="1"/>
  <c r="AR41" i="1"/>
  <c r="AQ41" i="1"/>
  <c r="AK42" i="1"/>
  <c r="AR42" i="1" l="1"/>
  <c r="AQ42" i="1"/>
  <c r="AK43" i="1"/>
  <c r="AG41" i="1"/>
  <c r="L41" i="1" s="1"/>
  <c r="N41" i="1" s="1"/>
  <c r="V38" i="1" l="1"/>
  <c r="S38" i="1" s="1"/>
  <c r="T40" i="1"/>
  <c r="U39" i="1"/>
  <c r="AR43" i="1"/>
  <c r="AQ43" i="1"/>
  <c r="AG43" i="1" s="1"/>
  <c r="L43" i="1" s="1"/>
  <c r="N43" i="1" s="1"/>
  <c r="AK44" i="1"/>
  <c r="AG42" i="1"/>
  <c r="L42" i="1" s="1"/>
  <c r="N42" i="1" s="1"/>
  <c r="T42" i="1" l="1"/>
  <c r="V39" i="1"/>
  <c r="S39" i="1" s="1"/>
  <c r="AR44" i="1"/>
  <c r="AQ44" i="1"/>
  <c r="AK45" i="1"/>
  <c r="V40" i="1"/>
  <c r="S40" i="1" s="1"/>
  <c r="T41" i="1"/>
  <c r="U40" i="1"/>
  <c r="U41" i="1"/>
  <c r="AR45" i="1" l="1"/>
  <c r="AQ45" i="1"/>
  <c r="AK46" i="1"/>
  <c r="AG44" i="1"/>
  <c r="L44" i="1" s="1"/>
  <c r="N44" i="1" s="1"/>
  <c r="T44" i="1" l="1"/>
  <c r="V42" i="1"/>
  <c r="S42" i="1" s="1"/>
  <c r="V41" i="1"/>
  <c r="S41" i="1" s="1"/>
  <c r="T43" i="1"/>
  <c r="U42" i="1"/>
  <c r="AQ46" i="1"/>
  <c r="AR46" i="1"/>
  <c r="AG45" i="1"/>
  <c r="L45" i="1" s="1"/>
  <c r="N45" i="1" s="1"/>
  <c r="U43" i="1" l="1"/>
  <c r="AG46" i="1"/>
  <c r="L46" i="1" s="1"/>
  <c r="N46" i="1" s="1"/>
  <c r="U46" i="1" l="1"/>
  <c r="T46" i="1"/>
  <c r="V46" i="1"/>
  <c r="S46" i="1" s="1"/>
  <c r="P2" i="1"/>
  <c r="U44" i="1"/>
  <c r="U45" i="1"/>
  <c r="V44" i="1"/>
  <c r="S44" i="1" s="1"/>
  <c r="V45" i="1"/>
  <c r="S45" i="1" s="1"/>
  <c r="V43" i="1"/>
  <c r="S43" i="1" s="1"/>
  <c r="T45" i="1"/>
</calcChain>
</file>

<file path=xl/comments1.xml><?xml version="1.0" encoding="utf-8"?>
<comments xmlns="http://schemas.openxmlformats.org/spreadsheetml/2006/main">
  <authors>
    <author/>
  </authors>
  <commentList>
    <comment ref="A9" authorId="0" shapeId="0">
      <text>
        <r>
          <rPr>
            <sz val="10"/>
            <color rgb="FF000000"/>
            <rFont val="Arial"/>
          </rPr>
          <t>Paul Freeman:
It is not necessary to enter order of march until list is finished.</t>
        </r>
      </text>
    </comment>
    <comment ref="B9" authorId="0" shapeId="0">
      <text>
        <r>
          <rPr>
            <sz val="10"/>
            <color rgb="FF000000"/>
            <rFont val="Arial"/>
          </rPr>
          <t>Paul Freeman:
 Each BG has to be given a ref No. 
Mixed Units Should use same BG Number On Each Component Line</t>
        </r>
      </text>
    </comment>
    <comment ref="K9" authorId="0" shapeId="0">
      <text>
        <r>
          <rPr>
            <sz val="10"/>
            <color rgb="FF000000"/>
            <rFont val="Arial"/>
          </rPr>
          <t>Paul Freeman:
To Sort:
Select Completed Rows and Columns to this line (Columns A:K) Then Click on Sort.</t>
        </r>
      </text>
    </comment>
  </commentList>
</comments>
</file>

<file path=xl/sharedStrings.xml><?xml version="1.0" encoding="utf-8"?>
<sst xmlns="http://schemas.openxmlformats.org/spreadsheetml/2006/main" count="569" uniqueCount="247">
  <si>
    <t>Notes;</t>
  </si>
  <si>
    <t>These are draft points cost intended for test games and approved cometitions - The orginal version is still the official version</t>
  </si>
  <si>
    <t xml:space="preserve">Commanded Shot is costed as 2x Average Muskets and simply acts as an attached token and should be added the same as a Regimental Gun </t>
  </si>
  <si>
    <t>Points lookup</t>
  </si>
  <si>
    <t>MODIFIED POINTS - BETA 8b</t>
  </si>
  <si>
    <t>TroopType</t>
  </si>
  <si>
    <t>Elite</t>
  </si>
  <si>
    <t>Superior</t>
  </si>
  <si>
    <t>Average</t>
  </si>
  <si>
    <t>Poor</t>
  </si>
  <si>
    <t>Fully Armd-Gendarme</t>
  </si>
  <si>
    <t xml:space="preserve">Field of Glory Renaissance </t>
  </si>
  <si>
    <t>Army:</t>
  </si>
  <si>
    <t>Fully Armd-Horse#</t>
  </si>
  <si>
    <t>-</t>
  </si>
  <si>
    <t>Fully Armd-Dt Horse#</t>
  </si>
  <si>
    <t>Fully Armd-Dragoon#</t>
  </si>
  <si>
    <t>Fully Armd-Cavalier#</t>
  </si>
  <si>
    <t>Fully Armd-Cavalry#</t>
  </si>
  <si>
    <t>n</t>
  </si>
  <si>
    <t>Fully Armd-Camelry#</t>
  </si>
  <si>
    <t>The additional points for salvo shot are added automatically in column M.</t>
  </si>
  <si>
    <t>Column B "BG#" is used to define mixed units (max 4 ) use the same number for each row in a BG.</t>
  </si>
  <si>
    <t>Army Date:</t>
  </si>
  <si>
    <t>A BG must have a number in the BG# column to calculate the points values correctly. (e.g. Shot have different values if with pike)</t>
  </si>
  <si>
    <t>Note: BG# is independent from Order of march an underlined number in the BG column indicates it is a Grand BG.</t>
  </si>
  <si>
    <t>Fully Armd-LH#</t>
  </si>
  <si>
    <t>How To Sort By Order of March;</t>
  </si>
  <si>
    <t>It is possible to sort the list by order of march, This is done by selecting all the data entry cells of the main list, i.e. Cell A10:K(##)</t>
  </si>
  <si>
    <t xml:space="preserve">After selting these cells simple click on Sort A-Z and that’s it done.   </t>
  </si>
  <si>
    <t>Rember to enter an Order of march number in every used row and make sure you use the same OOM number for troops in the same BG</t>
  </si>
  <si>
    <t>Detached Shot List</t>
  </si>
  <si>
    <t xml:space="preserve">You can also delete the OoM and change BG# numbering then re-sort on the BG# column to produce a detached shot list and - this will re-calculate the points, wrongly, but saves retyping the whole thing. </t>
  </si>
  <si>
    <t>Fully Armd-HF</t>
  </si>
  <si>
    <t>Fully Armd-Dt Foot</t>
  </si>
  <si>
    <t>Commanders</t>
  </si>
  <si>
    <t>Fully Armd-MF</t>
  </si>
  <si>
    <t>Happy Gaming!</t>
  </si>
  <si>
    <t>Paul</t>
  </si>
  <si>
    <t>Fully Armd-LF</t>
  </si>
  <si>
    <t>Fully Armd-Warriors</t>
  </si>
  <si>
    <t>Hvy Armd-Gendarme</t>
  </si>
  <si>
    <t>Type</t>
  </si>
  <si>
    <t>Points</t>
  </si>
  <si>
    <t>Total</t>
  </si>
  <si>
    <t>Hvy Armd-Horse</t>
  </si>
  <si>
    <t>Hvy Armd-Dt Horse</t>
  </si>
  <si>
    <t>Hvy Armd-Dragoon</t>
  </si>
  <si>
    <t>Hvy Armd-Cavalier#</t>
  </si>
  <si>
    <t>Hvy Armd-Cavalry</t>
  </si>
  <si>
    <t>Hvy Armd-Camelry</t>
  </si>
  <si>
    <t>Hvy Armd-LH#</t>
  </si>
  <si>
    <t>new</t>
  </si>
  <si>
    <t>Hvy Armd-HF</t>
  </si>
  <si>
    <t>Hvy Armd-Dt Foot</t>
  </si>
  <si>
    <t>Player/s</t>
  </si>
  <si>
    <t>Hvy Armd-MF</t>
  </si>
  <si>
    <t>Hvy Armd-LF</t>
  </si>
  <si>
    <t>Hvy Armd-Warriors</t>
  </si>
  <si>
    <t>Armoured-Gendarme</t>
  </si>
  <si>
    <t>Armoured-Horse</t>
  </si>
  <si>
    <t xml:space="preserve">Book </t>
  </si>
  <si>
    <t>Armoured-Dt Horse</t>
  </si>
  <si>
    <t>Armoured-Dragoon</t>
  </si>
  <si>
    <t>?</t>
  </si>
  <si>
    <t>Armoured-Cavalier</t>
  </si>
  <si>
    <t>Armoured-Cavalry</t>
  </si>
  <si>
    <t>Armoured-Camelry</t>
  </si>
  <si>
    <t>Armoured-Elephant</t>
  </si>
  <si>
    <t>CinC</t>
  </si>
  <si>
    <t>Armoured-LH</t>
  </si>
  <si>
    <t>Armoured-HF</t>
  </si>
  <si>
    <t>Armoured-Dt foot</t>
  </si>
  <si>
    <t>Armoured-MF</t>
  </si>
  <si>
    <t>Armoured-LF</t>
  </si>
  <si>
    <t>Armoured-Warriors</t>
  </si>
  <si>
    <t>Unarmoured-Gendarme</t>
  </si>
  <si>
    <t>Unarmoured-Horse</t>
  </si>
  <si>
    <t>Unarmoured-Dt Horse</t>
  </si>
  <si>
    <t>Unarmoured-Dragoon</t>
  </si>
  <si>
    <t>Unarmoured-Cavalier</t>
  </si>
  <si>
    <t>Total BG</t>
  </si>
  <si>
    <t>Unarmoured-Cavalry</t>
  </si>
  <si>
    <t>Unarmoured-Camelry</t>
  </si>
  <si>
    <t>Unarmoured-LH</t>
  </si>
  <si>
    <t>Unarmoured-HF</t>
  </si>
  <si>
    <t>Unarmoured-Dt Foot</t>
  </si>
  <si>
    <t>Unarmoured-MF</t>
  </si>
  <si>
    <t>Unarmoured-LF</t>
  </si>
  <si>
    <t>Unarmoured-Warriors</t>
  </si>
  <si>
    <t>Unarmoured-Elephant</t>
  </si>
  <si>
    <t>Club/ Team</t>
  </si>
  <si>
    <t>-Elephant</t>
  </si>
  <si>
    <t>Unarmoured-Mob</t>
  </si>
  <si>
    <t>Artillery-Hvy Art</t>
  </si>
  <si>
    <t>Artillery-Med Art</t>
  </si>
  <si>
    <t>Artillery-Lt Art</t>
  </si>
  <si>
    <t>-CmdShot</t>
  </si>
  <si>
    <t>no weapon</t>
  </si>
  <si>
    <t>-CmdShotArq</t>
  </si>
  <si>
    <t>-Reg Gun</t>
  </si>
  <si>
    <t>Allies</t>
  </si>
  <si>
    <t>-Portable def</t>
  </si>
  <si>
    <t>Battle Wg-Lt Art</t>
  </si>
  <si>
    <t>Battle Wg-</t>
  </si>
  <si>
    <t>Naval</t>
  </si>
  <si>
    <t>Definition</t>
  </si>
  <si>
    <t>Gendarme</t>
  </si>
  <si>
    <t>Mtd</t>
  </si>
  <si>
    <t>Horse</t>
  </si>
  <si>
    <t>Dt Horse</t>
  </si>
  <si>
    <t>Dragoon</t>
  </si>
  <si>
    <t>Foot</t>
  </si>
  <si>
    <t>Cavalier</t>
  </si>
  <si>
    <t>Cavalry</t>
  </si>
  <si>
    <t>Naval Units</t>
  </si>
  <si>
    <t>LH</t>
  </si>
  <si>
    <t>HF</t>
  </si>
  <si>
    <t>Dt Foot</t>
  </si>
  <si>
    <t>MF</t>
  </si>
  <si>
    <t>LF</t>
  </si>
  <si>
    <t>Warriors</t>
  </si>
  <si>
    <t>Artillery</t>
  </si>
  <si>
    <t>Battle Wg</t>
  </si>
  <si>
    <t>Contact Details</t>
  </si>
  <si>
    <t>CmdShot</t>
  </si>
  <si>
    <t>Reg Gun</t>
  </si>
  <si>
    <t>Camelry</t>
  </si>
  <si>
    <t>Elephant</t>
  </si>
  <si>
    <t xml:space="preserve">Naval </t>
  </si>
  <si>
    <t>Mob</t>
  </si>
  <si>
    <t>Portable Def</t>
  </si>
  <si>
    <t>Shooting</t>
  </si>
  <si>
    <t xml:space="preserve">Definition </t>
  </si>
  <si>
    <t>Arquebus</t>
  </si>
  <si>
    <t>Shot</t>
  </si>
  <si>
    <t>Grand BG</t>
  </si>
  <si>
    <t>Musket</t>
  </si>
  <si>
    <t>Musket'*</t>
  </si>
  <si>
    <t>Carbine</t>
  </si>
  <si>
    <t>Pistol</t>
  </si>
  <si>
    <t>Phone:</t>
  </si>
  <si>
    <t>Bow</t>
  </si>
  <si>
    <t>Bow'*</t>
  </si>
  <si>
    <t>xBow</t>
  </si>
  <si>
    <t>e-mail:</t>
  </si>
  <si>
    <t>Lt Art</t>
  </si>
  <si>
    <t>Med Art</t>
  </si>
  <si>
    <t>Hvy Art</t>
  </si>
  <si>
    <t>Salvo</t>
  </si>
  <si>
    <t>Bombs</t>
  </si>
  <si>
    <t>Fortifications</t>
  </si>
  <si>
    <t>Sling</t>
  </si>
  <si>
    <t>Javelin</t>
  </si>
  <si>
    <t>Qty</t>
  </si>
  <si>
    <t>Points ea.</t>
  </si>
  <si>
    <t>Impact</t>
  </si>
  <si>
    <t>Break Point</t>
  </si>
  <si>
    <t>Hvy Lance</t>
  </si>
  <si>
    <t>Deploy</t>
  </si>
  <si>
    <t>Lt Lance</t>
  </si>
  <si>
    <t>Initiative</t>
  </si>
  <si>
    <t>Initiative +</t>
  </si>
  <si>
    <t>Yes / No</t>
  </si>
  <si>
    <t>Hvy W</t>
  </si>
  <si>
    <t>Territory Types</t>
  </si>
  <si>
    <t>Pike</t>
  </si>
  <si>
    <t>Bayonet</t>
  </si>
  <si>
    <t>Impact Mtd</t>
  </si>
  <si>
    <t>Impact Ft.</t>
  </si>
  <si>
    <t>Impact Ft+Bayonet</t>
  </si>
  <si>
    <t>Lt Spear</t>
  </si>
  <si>
    <t>Field Fortif.</t>
  </si>
  <si>
    <t>Salvo+Bayonet</t>
  </si>
  <si>
    <t>Spear</t>
  </si>
  <si>
    <t>Melee</t>
  </si>
  <si>
    <t>Sword</t>
  </si>
  <si>
    <t>Deployment</t>
  </si>
  <si>
    <t>General</t>
  </si>
  <si>
    <t>Sub</t>
  </si>
  <si>
    <t>Ally</t>
  </si>
  <si>
    <t>Great</t>
  </si>
  <si>
    <t>Field</t>
  </si>
  <si>
    <t>Troop</t>
  </si>
  <si>
    <t>No</t>
  </si>
  <si>
    <t>Fortified Cmp</t>
  </si>
  <si>
    <t>Yes</t>
  </si>
  <si>
    <t>Order of March</t>
  </si>
  <si>
    <t>BG #</t>
  </si>
  <si>
    <t>Troop Name</t>
  </si>
  <si>
    <t>Armour</t>
  </si>
  <si>
    <t>Quality</t>
  </si>
  <si>
    <t xml:space="preserve">Shooting </t>
  </si>
  <si>
    <t>Number of Bases</t>
  </si>
  <si>
    <t>BG Type</t>
  </si>
  <si>
    <t>Points per Base</t>
  </si>
  <si>
    <t>Add Cost</t>
  </si>
  <si>
    <t>Tot.</t>
  </si>
  <si>
    <t>BG Size</t>
  </si>
  <si>
    <t>BG Value</t>
  </si>
  <si>
    <t xml:space="preserve"> Logic</t>
  </si>
  <si>
    <t>2x</t>
  </si>
  <si>
    <t>3x</t>
  </si>
  <si>
    <t>4x</t>
  </si>
  <si>
    <t>SizeLogic</t>
  </si>
  <si>
    <t>Pdef Reg Gun</t>
  </si>
  <si>
    <t>Init Factor</t>
  </si>
  <si>
    <t>Init Value</t>
  </si>
  <si>
    <t>Tot Base cost</t>
  </si>
  <si>
    <t>Shot?</t>
  </si>
  <si>
    <t>Pike-Shot</t>
  </si>
  <si>
    <t>Type cost</t>
  </si>
  <si>
    <t>Add</t>
  </si>
  <si>
    <t>Pike+Shot</t>
  </si>
  <si>
    <t>Cmd Shot</t>
  </si>
  <si>
    <t>Battle wg</t>
  </si>
  <si>
    <t>Detached Shot</t>
  </si>
  <si>
    <t>Dropdown Tables</t>
  </si>
  <si>
    <t>BG_Type</t>
  </si>
  <si>
    <t>Territory</t>
  </si>
  <si>
    <t>Book</t>
  </si>
  <si>
    <t>Fortification</t>
  </si>
  <si>
    <t>Agricultural</t>
  </si>
  <si>
    <t>Wars of Religion</t>
  </si>
  <si>
    <t>Fully Armd</t>
  </si>
  <si>
    <t>ET</t>
  </si>
  <si>
    <t>Hilly</t>
  </si>
  <si>
    <t>Trade &amp; Treachery</t>
  </si>
  <si>
    <t>Teth. Camels</t>
  </si>
  <si>
    <t>Hvy Armd</t>
  </si>
  <si>
    <t>LT</t>
  </si>
  <si>
    <t>Woodland</t>
  </si>
  <si>
    <t>Clash of Empires</t>
  </si>
  <si>
    <t>Armoured</t>
  </si>
  <si>
    <t>Keil</t>
  </si>
  <si>
    <t>Steppes</t>
  </si>
  <si>
    <t>Colonies &amp; Conquest</t>
  </si>
  <si>
    <t>Unarmoured</t>
  </si>
  <si>
    <t>Mountains</t>
  </si>
  <si>
    <t>Duty &amp; Glory</t>
  </si>
  <si>
    <t>Swede Bg</t>
  </si>
  <si>
    <t>Tropical</t>
  </si>
  <si>
    <t>Cities of Gold</t>
  </si>
  <si>
    <t>Detached Unit</t>
  </si>
  <si>
    <t>Desert</t>
  </si>
  <si>
    <t xml:space="preserve">Beta 8b </t>
  </si>
  <si>
    <t>Fortifications cells unlocked  - Note Tetherd camels can be selected as an option.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</si>
</sst>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_(* #,##0_);_(* \(#,##0\);_(* &quot;-&quot;_);_(@_)"/>
  </numFmts>
  <fonts count="19" x14ac:knownFonts="1">
    <font>
      <sz val="10"/>
      <color rgb="FF000000"/>
      <name val="Arial"/>
    </font>
    <font>
      <b/>
      <sz val="10"/>
      <color rgb="FF000000"/>
      <name val="Arial"/>
    </font>
    <font>
      <b/>
      <sz val="14"/>
      <color rgb="FFFF0000"/>
      <name val="Arial"/>
    </font>
    <font>
      <b/>
      <sz val="10"/>
      <color rgb="FFFF0000"/>
      <name val="Arial"/>
    </font>
    <font>
      <sz val="10"/>
      <color rgb="FF262626"/>
      <name val="Arial"/>
    </font>
    <font>
      <sz val="10"/>
      <color rgb="FFFF0000"/>
      <name val="Arial"/>
    </font>
    <font>
      <i/>
      <sz val="10"/>
      <color rgb="FF262626"/>
      <name val="Century Gothic"/>
    </font>
    <font>
      <sz val="9"/>
      <color rgb="FFFFFF99"/>
      <name val="Arial"/>
    </font>
    <font>
      <sz val="10"/>
      <name val="Arial"/>
    </font>
    <font>
      <u/>
      <sz val="10"/>
      <color rgb="FF0000FF"/>
      <name val="Arial"/>
    </font>
    <font>
      <b/>
      <sz val="10"/>
      <color rgb="FF7030A0"/>
      <name val="Arial"/>
    </font>
    <font>
      <sz val="10"/>
      <color rgb="FF7030A0"/>
      <name val="Arial"/>
    </font>
    <font>
      <b/>
      <sz val="14"/>
      <color rgb="FF000000"/>
      <name val="Arial"/>
    </font>
    <font>
      <sz val="10"/>
      <color rgb="FF800000"/>
      <name val="Arial"/>
    </font>
    <font>
      <sz val="8"/>
      <color rgb="FFFFFF99"/>
      <name val="Arial"/>
    </font>
    <font>
      <sz val="9"/>
      <color rgb="FF000000"/>
      <name val="Arial"/>
    </font>
    <font>
      <sz val="10"/>
      <color rgb="FFFFFF99"/>
      <name val="Arial"/>
    </font>
    <font>
      <sz val="9"/>
      <color rgb="FFFF0000"/>
      <name val="Arial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7030A0"/>
        <bgColor rgb="FF7030A0"/>
      </patternFill>
    </fill>
    <fill>
      <patternFill patternType="solid">
        <fgColor rgb="FFFFFF00"/>
        <bgColor rgb="FFFFFF00"/>
      </patternFill>
    </fill>
    <fill>
      <patternFill patternType="solid">
        <fgColor rgb="FF800000"/>
        <bgColor rgb="FF800000"/>
      </patternFill>
    </fill>
    <fill>
      <patternFill patternType="solid">
        <fgColor rgb="FFCC99FF"/>
        <bgColor rgb="FFCC99FF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800000"/>
      </left>
      <right/>
      <top style="thick">
        <color rgb="FF8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/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thin">
        <color rgb="FF000000"/>
      </right>
      <top style="medium">
        <color rgb="FF800000"/>
      </top>
      <bottom style="medium">
        <color rgb="FF8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800000"/>
      </top>
      <bottom/>
      <diagonal/>
    </border>
    <border>
      <left style="medium">
        <color rgb="FF800000"/>
      </left>
      <right/>
      <top style="thick">
        <color rgb="FF800000"/>
      </top>
      <bottom style="medium">
        <color rgb="FF800000"/>
      </bottom>
      <diagonal/>
    </border>
    <border>
      <left/>
      <right style="thick">
        <color rgb="FF800000"/>
      </right>
      <top style="thick">
        <color rgb="FF800000"/>
      </top>
      <bottom style="medium">
        <color rgb="FF800000"/>
      </bottom>
      <diagonal/>
    </border>
    <border>
      <left style="thick">
        <color rgb="FF8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800000"/>
      </left>
      <right/>
      <top style="thin">
        <color rgb="FF800000"/>
      </top>
      <bottom/>
      <diagonal/>
    </border>
    <border>
      <left/>
      <right style="thin">
        <color rgb="FF800000"/>
      </right>
      <top style="thin">
        <color rgb="FF800000"/>
      </top>
      <bottom/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000000"/>
      </left>
      <right style="thin">
        <color rgb="FF800000"/>
      </right>
      <top/>
      <bottom style="thin">
        <color rgb="FF800000"/>
      </bottom>
      <diagonal/>
    </border>
    <border>
      <left style="thin">
        <color rgb="FF800000"/>
      </left>
      <right style="thick">
        <color rgb="FF800000"/>
      </right>
      <top/>
      <bottom style="thin">
        <color rgb="FF800000"/>
      </bottom>
      <diagonal/>
    </border>
    <border>
      <left style="thick">
        <color rgb="FF8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00000"/>
      </left>
      <right/>
      <top style="medium">
        <color rgb="FF800000"/>
      </top>
      <bottom/>
      <diagonal/>
    </border>
    <border>
      <left/>
      <right/>
      <top style="medium">
        <color rgb="FF800000"/>
      </top>
      <bottom/>
      <diagonal/>
    </border>
    <border>
      <left/>
      <right style="medium">
        <color rgb="FF800000"/>
      </right>
      <top style="medium">
        <color rgb="FF8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ck">
        <color rgb="FF800000"/>
      </right>
      <top style="thin">
        <color rgb="FF800000"/>
      </top>
      <bottom style="thin">
        <color rgb="FF800000"/>
      </bottom>
      <diagonal/>
    </border>
    <border>
      <left style="thick">
        <color rgb="FF800000"/>
      </left>
      <right/>
      <top/>
      <bottom/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0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800000"/>
      </bottom>
      <diagonal/>
    </border>
    <border>
      <left/>
      <right/>
      <top/>
      <bottom style="medium">
        <color rgb="FF800000"/>
      </bottom>
      <diagonal/>
    </border>
    <border>
      <left/>
      <right style="thin">
        <color rgb="FF000000"/>
      </right>
      <top/>
      <bottom style="medium">
        <color rgb="FF8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800000"/>
      </bottom>
      <diagonal/>
    </border>
    <border>
      <left/>
      <right style="thin">
        <color rgb="FF000000"/>
      </right>
      <top style="thin">
        <color rgb="FF000000"/>
      </top>
      <bottom style="thick">
        <color rgb="FF800000"/>
      </bottom>
      <diagonal/>
    </border>
    <border>
      <left/>
      <right style="thick">
        <color rgb="FF8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800000"/>
      </left>
      <right style="thin">
        <color rgb="FF000000"/>
      </right>
      <top style="thick">
        <color rgb="FF8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800000"/>
      </top>
      <bottom style="thin">
        <color rgb="FF000000"/>
      </bottom>
      <diagonal/>
    </border>
    <border>
      <left style="thin">
        <color rgb="FF000000"/>
      </left>
      <right/>
      <top style="thick">
        <color rgb="FF8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8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800000"/>
      </top>
      <bottom style="thin">
        <color rgb="FF000000"/>
      </bottom>
      <diagonal/>
    </border>
    <border>
      <left style="thin">
        <color rgb="FF000000"/>
      </left>
      <right style="thick">
        <color rgb="FF800000"/>
      </right>
      <top style="thick">
        <color rgb="FF8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8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800000"/>
      </left>
      <right/>
      <top style="thin">
        <color rgb="FF000000"/>
      </top>
      <bottom style="thick">
        <color rgb="FF8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8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rgb="FF8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800000"/>
      </bottom>
      <diagonal/>
    </border>
    <border>
      <left style="thin">
        <color rgb="FF000000"/>
      </left>
      <right style="thick">
        <color rgb="FF800000"/>
      </right>
      <top style="thin">
        <color rgb="FF000000"/>
      </top>
      <bottom style="thick">
        <color rgb="FF80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164" fontId="0" fillId="3" borderId="1" xfId="0" applyNumberFormat="1" applyFont="1" applyFill="1" applyBorder="1"/>
    <xf numFmtId="0" fontId="4" fillId="2" borderId="1" xfId="0" applyFont="1" applyFill="1" applyBorder="1"/>
    <xf numFmtId="0" fontId="6" fillId="2" borderId="1" xfId="0" applyFont="1" applyFill="1" applyBorder="1"/>
    <xf numFmtId="0" fontId="0" fillId="4" borderId="1" xfId="0" applyFont="1" applyFill="1" applyBorder="1"/>
    <xf numFmtId="0" fontId="5" fillId="0" borderId="0" xfId="0" applyFont="1"/>
    <xf numFmtId="0" fontId="7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5" borderId="9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0" fillId="0" borderId="11" xfId="0" applyFont="1" applyBorder="1"/>
    <xf numFmtId="0" fontId="3" fillId="0" borderId="0" xfId="0" applyFont="1"/>
    <xf numFmtId="0" fontId="7" fillId="5" borderId="3" xfId="0" applyFont="1" applyFill="1" applyBorder="1" applyAlignment="1">
      <alignment horizontal="right" vertical="center"/>
    </xf>
    <xf numFmtId="0" fontId="9" fillId="0" borderId="0" xfId="0" applyFont="1" applyAlignment="1">
      <alignment vertical="top"/>
    </xf>
    <xf numFmtId="0" fontId="0" fillId="3" borderId="1" xfId="0" applyFont="1" applyFill="1" applyBorder="1"/>
    <xf numFmtId="0" fontId="10" fillId="0" borderId="0" xfId="0" applyFont="1"/>
    <xf numFmtId="0" fontId="1" fillId="0" borderId="12" xfId="0" applyFont="1" applyBorder="1" applyAlignment="1">
      <alignment horizontal="right"/>
    </xf>
    <xf numFmtId="0" fontId="8" fillId="0" borderId="0" xfId="0" applyFont="1" applyAlignment="1"/>
    <xf numFmtId="0" fontId="11" fillId="0" borderId="0" xfId="0" applyFont="1"/>
    <xf numFmtId="0" fontId="12" fillId="0" borderId="13" xfId="0" applyFont="1" applyBorder="1" applyAlignment="1">
      <alignment horizont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0" fillId="6" borderId="18" xfId="0" applyFont="1" applyFill="1" applyBorder="1"/>
    <xf numFmtId="0" fontId="0" fillId="0" borderId="18" xfId="0" applyFont="1" applyBorder="1" applyAlignment="1"/>
    <xf numFmtId="0" fontId="0" fillId="0" borderId="18" xfId="0" applyFont="1" applyBorder="1"/>
    <xf numFmtId="0" fontId="1" fillId="4" borderId="1" xfId="0" applyFont="1" applyFill="1" applyBorder="1"/>
    <xf numFmtId="0" fontId="0" fillId="0" borderId="0" xfId="0" applyFont="1" applyAlignment="1">
      <alignment horizontal="right"/>
    </xf>
    <xf numFmtId="0" fontId="13" fillId="7" borderId="19" xfId="0" applyFont="1" applyFill="1" applyBorder="1"/>
    <xf numFmtId="0" fontId="0" fillId="7" borderId="20" xfId="0" applyFont="1" applyFill="1" applyBorder="1" applyAlignment="1">
      <alignment horizontal="center"/>
    </xf>
    <xf numFmtId="0" fontId="12" fillId="0" borderId="0" xfId="0" applyFont="1"/>
    <xf numFmtId="0" fontId="14" fillId="5" borderId="21" xfId="0" applyFont="1" applyFill="1" applyBorder="1" applyAlignment="1">
      <alignment horizontal="center" vertical="center" wrapText="1"/>
    </xf>
    <xf numFmtId="0" fontId="0" fillId="0" borderId="28" xfId="0" applyFont="1" applyBorder="1"/>
    <xf numFmtId="0" fontId="0" fillId="0" borderId="29" xfId="0" applyFont="1" applyBorder="1" applyAlignment="1">
      <alignment horizontal="center"/>
    </xf>
    <xf numFmtId="0" fontId="3" fillId="4" borderId="1" xfId="0" applyFont="1" applyFill="1" applyBorder="1"/>
    <xf numFmtId="0" fontId="0" fillId="0" borderId="30" xfId="0" applyFont="1" applyBorder="1"/>
    <xf numFmtId="0" fontId="0" fillId="7" borderId="31" xfId="0" applyFont="1" applyFill="1" applyBorder="1" applyAlignment="1">
      <alignment vertical="top" wrapText="1"/>
    </xf>
    <xf numFmtId="0" fontId="0" fillId="2" borderId="32" xfId="0" applyFont="1" applyFill="1" applyBorder="1" applyAlignment="1">
      <alignment vertical="top" wrapText="1"/>
    </xf>
    <xf numFmtId="0" fontId="0" fillId="2" borderId="33" xfId="0" applyFont="1" applyFill="1" applyBorder="1" applyAlignment="1">
      <alignment horizontal="right" vertical="top" wrapText="1"/>
    </xf>
    <xf numFmtId="0" fontId="16" fillId="5" borderId="36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0" fillId="8" borderId="9" xfId="0" applyFont="1" applyFill="1" applyBorder="1" applyAlignment="1">
      <alignment horizontal="center"/>
    </xf>
    <xf numFmtId="0" fontId="16" fillId="5" borderId="9" xfId="0" applyFont="1" applyFill="1" applyBorder="1"/>
    <xf numFmtId="0" fontId="16" fillId="5" borderId="9" xfId="0" applyFont="1" applyFill="1" applyBorder="1" applyAlignment="1">
      <alignment horizontal="center"/>
    </xf>
    <xf numFmtId="2" fontId="0" fillId="0" borderId="0" xfId="0" applyNumberFormat="1" applyFont="1"/>
    <xf numFmtId="0" fontId="0" fillId="0" borderId="41" xfId="0" applyFont="1" applyBorder="1"/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Font="1" applyBorder="1"/>
    <xf numFmtId="0" fontId="15" fillId="0" borderId="37" xfId="0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0" fontId="16" fillId="5" borderId="10" xfId="0" applyFont="1" applyFill="1" applyBorder="1"/>
    <xf numFmtId="0" fontId="0" fillId="0" borderId="45" xfId="0" applyFont="1" applyBorder="1" applyAlignment="1">
      <alignment horizontal="center"/>
    </xf>
    <xf numFmtId="0" fontId="0" fillId="0" borderId="46" xfId="0" applyFont="1" applyBorder="1"/>
    <xf numFmtId="0" fontId="7" fillId="5" borderId="47" xfId="0" applyFont="1" applyFill="1" applyBorder="1" applyAlignment="1">
      <alignment horizontal="center" vertical="top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/>
    </xf>
    <xf numFmtId="0" fontId="0" fillId="0" borderId="27" xfId="0" applyFont="1" applyBorder="1"/>
    <xf numFmtId="0" fontId="0" fillId="0" borderId="27" xfId="0" applyFont="1" applyBorder="1" applyAlignment="1">
      <alignment horizontal="right"/>
    </xf>
    <xf numFmtId="0" fontId="0" fillId="0" borderId="53" xfId="0" applyFont="1" applyBorder="1"/>
    <xf numFmtId="165" fontId="0" fillId="0" borderId="9" xfId="0" applyNumberFormat="1" applyFont="1" applyBorder="1"/>
    <xf numFmtId="0" fontId="0" fillId="0" borderId="54" xfId="0" applyFont="1" applyBorder="1" applyAlignment="1">
      <alignment horizontal="center"/>
    </xf>
    <xf numFmtId="165" fontId="0" fillId="0" borderId="5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0" fillId="0" borderId="0" xfId="0" applyNumberFormat="1" applyFont="1"/>
    <xf numFmtId="0" fontId="0" fillId="0" borderId="46" xfId="0" applyFont="1" applyBorder="1" applyAlignment="1">
      <alignment horizontal="right"/>
    </xf>
    <xf numFmtId="0" fontId="0" fillId="0" borderId="56" xfId="0" applyFont="1" applyBorder="1"/>
    <xf numFmtId="0" fontId="0" fillId="0" borderId="56" xfId="0" applyFont="1" applyBorder="1" applyAlignment="1">
      <alignment horizontal="right"/>
    </xf>
    <xf numFmtId="0" fontId="0" fillId="0" borderId="55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1" xfId="0" applyFont="1" applyBorder="1"/>
    <xf numFmtId="0" fontId="0" fillId="0" borderId="9" xfId="0" applyFont="1" applyBorder="1"/>
    <xf numFmtId="0" fontId="0" fillId="0" borderId="25" xfId="0" applyFont="1" applyBorder="1"/>
    <xf numFmtId="0" fontId="0" fillId="0" borderId="57" xfId="0" applyFont="1" applyBorder="1"/>
    <xf numFmtId="0" fontId="0" fillId="0" borderId="58" xfId="0" applyFont="1" applyBorder="1"/>
    <xf numFmtId="0" fontId="0" fillId="0" borderId="59" xfId="0" applyFont="1" applyBorder="1"/>
    <xf numFmtId="165" fontId="0" fillId="0" borderId="58" xfId="0" applyNumberFormat="1" applyFont="1" applyBorder="1"/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9" borderId="1" xfId="0" applyFont="1" applyFill="1" applyBorder="1"/>
    <xf numFmtId="0" fontId="0" fillId="2" borderId="25" xfId="0" applyFont="1" applyFill="1" applyBorder="1" applyAlignment="1">
      <alignment horizontal="left"/>
    </xf>
    <xf numFmtId="0" fontId="8" fillId="0" borderId="26" xfId="0" applyFont="1" applyBorder="1"/>
    <xf numFmtId="0" fontId="8" fillId="0" borderId="27" xfId="0" applyFont="1" applyBorder="1"/>
    <xf numFmtId="0" fontId="0" fillId="2" borderId="16" xfId="0" applyFont="1" applyFill="1" applyBorder="1" applyAlignment="1">
      <alignment horizontal="left"/>
    </xf>
    <xf numFmtId="0" fontId="8" fillId="0" borderId="17" xfId="0" applyFont="1" applyBorder="1"/>
    <xf numFmtId="0" fontId="0" fillId="2" borderId="22" xfId="0" applyFont="1" applyFill="1" applyBorder="1" applyAlignment="1">
      <alignment horizontal="left"/>
    </xf>
    <xf numFmtId="0" fontId="8" fillId="0" borderId="23" xfId="0" applyFont="1" applyBorder="1"/>
    <xf numFmtId="0" fontId="8" fillId="0" borderId="24" xfId="0" applyFont="1" applyBorder="1"/>
    <xf numFmtId="0" fontId="0" fillId="2" borderId="22" xfId="0" applyFont="1" applyFill="1" applyBorder="1" applyAlignment="1">
      <alignment horizontal="left" vertical="top" wrapText="1"/>
    </xf>
    <xf numFmtId="0" fontId="16" fillId="5" borderId="38" xfId="0" applyFont="1" applyFill="1" applyBorder="1" applyAlignment="1">
      <alignment horizontal="center"/>
    </xf>
    <xf numFmtId="0" fontId="8" fillId="0" borderId="39" xfId="0" applyFont="1" applyBorder="1"/>
    <xf numFmtId="0" fontId="8" fillId="0" borderId="40" xfId="0" applyFont="1" applyBorder="1"/>
    <xf numFmtId="0" fontId="15" fillId="2" borderId="34" xfId="0" applyFont="1" applyFill="1" applyBorder="1" applyAlignment="1">
      <alignment horizontal="left" vertical="top"/>
    </xf>
    <xf numFmtId="0" fontId="8" fillId="0" borderId="35" xfId="0" applyFont="1" applyBorder="1"/>
    <xf numFmtId="0" fontId="1" fillId="0" borderId="43" xfId="0" applyFont="1" applyBorder="1" applyAlignment="1">
      <alignment horizontal="center"/>
    </xf>
    <xf numFmtId="0" fontId="8" fillId="0" borderId="44" xfId="0" applyFont="1" applyBorder="1"/>
    <xf numFmtId="0" fontId="0" fillId="2" borderId="5" xfId="0" applyFont="1" applyFill="1" applyBorder="1" applyAlignment="1">
      <alignment horizontal="left"/>
    </xf>
    <xf numFmtId="0" fontId="8" fillId="0" borderId="7" xfId="0" applyFont="1" applyBorder="1"/>
    <xf numFmtId="0" fontId="8" fillId="0" borderId="8" xfId="0" applyFont="1" applyBorder="1"/>
    <xf numFmtId="0" fontId="0" fillId="2" borderId="5" xfId="0" applyFont="1" applyFill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/>
    <xf numFmtId="0" fontId="5" fillId="4" borderId="2" xfId="0" applyFont="1" applyFill="1" applyBorder="1" applyAlignment="1">
      <alignment horizontal="left" vertical="top" wrapText="1"/>
    </xf>
    <xf numFmtId="0" fontId="8" fillId="0" borderId="4" xfId="0" applyFont="1" applyBorder="1"/>
    <xf numFmtId="0" fontId="8" fillId="0" borderId="6" xfId="0" applyFont="1" applyBorder="1"/>
    <xf numFmtId="0" fontId="0" fillId="0" borderId="9" xfId="0" applyFont="1" applyBorder="1" applyAlignment="1" applyProtection="1">
      <alignment horizontal="center"/>
      <protection locked="0"/>
    </xf>
    <xf numFmtId="0" fontId="15" fillId="8" borderId="9" xfId="0" applyFont="1" applyFill="1" applyBorder="1" applyAlignment="1" applyProtection="1">
      <alignment horizontal="right"/>
      <protection locked="0"/>
    </xf>
    <xf numFmtId="0" fontId="18" fillId="0" borderId="0" xfId="0" applyFont="1" applyAlignment="1"/>
  </cellXfs>
  <cellStyles count="1">
    <cellStyle name="Normal" xfId="0" builtinId="0"/>
  </cellStyles>
  <dxfs count="11">
    <dxf>
      <font>
        <b/>
      </font>
      <fill>
        <patternFill patternType="none"/>
      </fill>
      <alignment wrapText="0" shrinkToFit="0"/>
    </dxf>
    <dxf>
      <font>
        <b/>
      </font>
      <fill>
        <patternFill patternType="none"/>
      </fill>
      <alignment wrapText="0" shrinkToFit="0"/>
    </dxf>
    <dxf>
      <font>
        <b/>
      </font>
      <fill>
        <patternFill patternType="none"/>
      </fill>
      <alignment wrapText="0" shrinkToFit="0"/>
    </dxf>
    <dxf>
      <font>
        <b/>
        <u/>
      </font>
      <fill>
        <patternFill patternType="none"/>
      </fill>
      <alignment wrapText="0" shrinkToFit="0"/>
    </dxf>
    <dxf>
      <fill>
        <patternFill patternType="solid">
          <fgColor rgb="FFFFCC00"/>
          <bgColor rgb="FFFFCC00"/>
        </patternFill>
      </fill>
      <alignment wrapText="0" shrinkToFit="0"/>
      <border>
        <bottom style="thin">
          <color rgb="FFFF0000"/>
        </bottom>
      </border>
    </dxf>
    <dxf>
      <fill>
        <patternFill patternType="solid">
          <fgColor rgb="FFFFCC00"/>
          <bgColor rgb="FFFFCC00"/>
        </patternFill>
      </fill>
      <alignment wrapText="0" shrinkToFit="0"/>
      <border>
        <bottom style="thin">
          <color rgb="FFFF0000"/>
        </bottom>
      </border>
    </dxf>
    <dxf>
      <fill>
        <patternFill patternType="solid">
          <fgColor rgb="FFFFCC00"/>
          <bgColor rgb="FFFFCC00"/>
        </patternFill>
      </fill>
      <alignment wrapText="0" shrinkToFit="0"/>
      <border>
        <bottom style="thin">
          <color rgb="FFFF0000"/>
        </bottom>
      </border>
    </dxf>
    <dxf>
      <fill>
        <patternFill patternType="solid">
          <fgColor rgb="FFFFCC00"/>
          <bgColor rgb="FFFFCC00"/>
        </patternFill>
      </fill>
      <alignment wrapText="0" shrinkToFit="0"/>
      <border>
        <bottom style="thin">
          <color rgb="FFFF0000"/>
        </bottom>
      </border>
    </dxf>
    <dxf>
      <fill>
        <patternFill patternType="solid">
          <fgColor rgb="FFFFCC00"/>
          <bgColor rgb="FFFFCC00"/>
        </patternFill>
      </fill>
      <alignment wrapText="0" shrinkToFit="0"/>
      <border>
        <bottom style="thin">
          <color rgb="FFFF0000"/>
        </bottom>
      </border>
    </dxf>
    <dxf>
      <fill>
        <patternFill patternType="solid">
          <fgColor rgb="FFFFCC00"/>
          <bgColor rgb="FFFFCC00"/>
        </patternFill>
      </fill>
      <alignment wrapText="0" shrinkToFit="0"/>
      <border>
        <bottom style="thin">
          <color rgb="FFFF0000"/>
        </bottom>
      </border>
    </dxf>
    <dxf>
      <fill>
        <patternFill patternType="solid">
          <fgColor rgb="FFFFCC00"/>
          <bgColor rgb="FFFFCC00"/>
        </patternFill>
      </fill>
      <alignment wrapText="0" shrinkToFit="0"/>
      <border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DD6EE"/>
  </sheetPr>
  <dimension ref="A1:BA1000"/>
  <sheetViews>
    <sheetView tabSelected="1" workbookViewId="0">
      <pane ySplit="9" topLeftCell="A10" activePane="bottomLeft" state="frozen"/>
      <selection pane="bottomLeft" activeCell="H8" sqref="H8:I8"/>
    </sheetView>
  </sheetViews>
  <sheetFormatPr defaultColWidth="14.42578125" defaultRowHeight="15" customHeight="1" x14ac:dyDescent="0.2"/>
  <cols>
    <col min="1" max="1" width="9.7109375" customWidth="1"/>
    <col min="2" max="2" width="7.28515625" customWidth="1"/>
    <col min="3" max="3" width="23.85546875" customWidth="1"/>
    <col min="4" max="6" width="12.85546875" customWidth="1"/>
    <col min="7" max="7" width="12.140625" customWidth="1"/>
    <col min="8" max="8" width="10.85546875" customWidth="1"/>
    <col min="9" max="9" width="10" customWidth="1"/>
    <col min="10" max="10" width="8.140625" customWidth="1"/>
    <col min="11" max="11" width="10.42578125" customWidth="1"/>
    <col min="12" max="12" width="7.42578125" customWidth="1"/>
    <col min="13" max="13" width="6.28515625" customWidth="1"/>
    <col min="14" max="14" width="6.140625" customWidth="1"/>
    <col min="15" max="15" width="11.140625" customWidth="1"/>
    <col min="16" max="16" width="9.85546875" customWidth="1"/>
    <col min="17" max="17" width="15.28515625" customWidth="1"/>
    <col min="18" max="29" width="15.28515625" hidden="1" customWidth="1"/>
    <col min="30" max="30" width="29.140625" hidden="1" customWidth="1"/>
    <col min="31" max="42" width="15.28515625" hidden="1" customWidth="1"/>
    <col min="43" max="43" width="20.85546875" hidden="1" customWidth="1"/>
    <col min="44" max="47" width="15.28515625" hidden="1" customWidth="1"/>
    <col min="48" max="50" width="12.42578125" hidden="1" customWidth="1"/>
    <col min="51" max="51" width="15.28515625" hidden="1" customWidth="1"/>
    <col min="52" max="52" width="2.140625" hidden="1" customWidth="1"/>
    <col min="53" max="53" width="15.28515625" customWidth="1"/>
  </cols>
  <sheetData>
    <row r="1" spans="1:53" ht="12.75" customHeight="1" x14ac:dyDescent="0.2">
      <c r="A1" s="4" t="s">
        <v>4</v>
      </c>
      <c r="B1" s="6"/>
      <c r="C1" s="6"/>
      <c r="D1" s="4" t="str">
        <f>A1</f>
        <v>MODIFIED POINTS - BETA 8b</v>
      </c>
      <c r="E1" s="7"/>
      <c r="F1" s="7" t="s">
        <v>11</v>
      </c>
      <c r="G1" s="6"/>
      <c r="H1" s="4" t="str">
        <f>A1</f>
        <v>MODIFIED POINTS - BETA 8b</v>
      </c>
      <c r="I1" s="6"/>
      <c r="J1" s="6"/>
      <c r="K1" s="4" t="str">
        <f>A1</f>
        <v>MODIFIED POINTS - BETA 8b</v>
      </c>
      <c r="L1" s="6"/>
      <c r="M1" s="6"/>
      <c r="N1" s="6"/>
      <c r="O1" s="6"/>
      <c r="P1" s="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9.5" customHeight="1" x14ac:dyDescent="0.25">
      <c r="A2" s="10" t="s">
        <v>12</v>
      </c>
      <c r="B2" s="111"/>
      <c r="C2" s="109"/>
      <c r="D2" s="109"/>
      <c r="E2" s="110"/>
      <c r="F2" s="12" t="s">
        <v>23</v>
      </c>
      <c r="G2" s="13"/>
      <c r="H2" s="14"/>
      <c r="I2" s="14"/>
      <c r="J2" s="14"/>
      <c r="K2" s="16" t="s">
        <v>35</v>
      </c>
      <c r="L2" s="10" t="s">
        <v>42</v>
      </c>
      <c r="M2" s="10" t="s">
        <v>43</v>
      </c>
      <c r="N2" s="14"/>
      <c r="O2" s="20" t="s">
        <v>44</v>
      </c>
      <c r="P2" s="23" t="e">
        <f>SUM(N10:N46)+(SUM(M3:M6))+(SUM(J7:J8))</f>
        <v>#N/A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9.5" customHeight="1" x14ac:dyDescent="0.25">
      <c r="A3" s="24" t="s">
        <v>55</v>
      </c>
      <c r="B3" s="108"/>
      <c r="C3" s="109"/>
      <c r="D3" s="109"/>
      <c r="E3" s="110"/>
      <c r="F3" s="25" t="s">
        <v>61</v>
      </c>
      <c r="G3" s="95"/>
      <c r="H3" s="96"/>
      <c r="I3" s="1"/>
      <c r="J3" s="1"/>
      <c r="K3" s="26" t="s">
        <v>69</v>
      </c>
      <c r="L3" s="27"/>
      <c r="M3" s="28" t="e">
        <f>IF((K3=""),"",VLOOKUP(L3,General,MATCH(K3,Lookup!$S$139:$V$139,0),FALSE))</f>
        <v>#N/A</v>
      </c>
      <c r="N3" s="30"/>
      <c r="O3" s="31" t="s">
        <v>81</v>
      </c>
      <c r="P3" s="32">
        <f>(COUNTIF(O10:O46,"&gt;0"))-P4</f>
        <v>0</v>
      </c>
      <c r="Q3" s="3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9.5" customHeight="1" x14ac:dyDescent="0.25">
      <c r="A4" s="34" t="s">
        <v>91</v>
      </c>
      <c r="B4" s="97"/>
      <c r="C4" s="98"/>
      <c r="D4" s="98"/>
      <c r="E4" s="99"/>
      <c r="F4" s="25" t="s">
        <v>101</v>
      </c>
      <c r="G4" s="92"/>
      <c r="H4" s="93"/>
      <c r="I4" s="94"/>
      <c r="J4" s="1"/>
      <c r="K4" s="28"/>
      <c r="L4" s="28"/>
      <c r="M4" s="28" t="str">
        <f>IF((K4=""),"",VLOOKUP(L4,General,MATCH(K4,Lookup!$S$139:$V$139,0),FALSE))</f>
        <v/>
      </c>
      <c r="N4" s="30"/>
      <c r="O4" s="35" t="s">
        <v>115</v>
      </c>
      <c r="P4" s="36">
        <f>SUM(AB10:AB46)</f>
        <v>0</v>
      </c>
      <c r="Q4" s="3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22.5" customHeight="1" x14ac:dyDescent="0.25">
      <c r="A5" s="24" t="s">
        <v>124</v>
      </c>
      <c r="B5" s="100"/>
      <c r="C5" s="98"/>
      <c r="D5" s="98"/>
      <c r="E5" s="99"/>
      <c r="F5" s="37" t="str">
        <f>A1</f>
        <v>MODIFIED POINTS - BETA 8b</v>
      </c>
      <c r="G5" s="8"/>
      <c r="H5" s="8"/>
      <c r="I5" s="8"/>
      <c r="J5" s="8"/>
      <c r="K5" s="28"/>
      <c r="L5" s="28"/>
      <c r="M5" s="28" t="str">
        <f>IF((K5=""),"",VLOOKUP(L5,General,MATCH(K5,Lookup!$S$139:$V$139,0),FALSE))</f>
        <v/>
      </c>
      <c r="N5" s="30"/>
      <c r="O5" s="31" t="s">
        <v>136</v>
      </c>
      <c r="P5" s="32">
        <f>SUM(AC10:AC46)</f>
        <v>0</v>
      </c>
      <c r="Q5" s="3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7.25" customHeight="1" x14ac:dyDescent="0.25">
      <c r="A6" s="38"/>
      <c r="B6" s="39" t="s">
        <v>141</v>
      </c>
      <c r="C6" s="40"/>
      <c r="D6" s="41" t="s">
        <v>145</v>
      </c>
      <c r="E6" s="104"/>
      <c r="F6" s="105"/>
      <c r="G6" s="42" t="s">
        <v>151</v>
      </c>
      <c r="H6" s="43" t="s">
        <v>154</v>
      </c>
      <c r="I6" s="43" t="s">
        <v>155</v>
      </c>
      <c r="J6" s="44" t="s">
        <v>44</v>
      </c>
      <c r="K6" s="28"/>
      <c r="L6" s="28"/>
      <c r="M6" s="28" t="str">
        <f>IF((K6=""),"",VLOOKUP(L6,General,MATCH(K6,Lookup!$S$139:$V$139,0),FALSE))</f>
        <v/>
      </c>
      <c r="N6" s="1"/>
      <c r="O6" s="35" t="s">
        <v>157</v>
      </c>
      <c r="P6" s="36">
        <f>P3+P5</f>
        <v>0</v>
      </c>
      <c r="Q6" s="33"/>
      <c r="R6" s="1" t="s">
        <v>159</v>
      </c>
      <c r="S6" s="1">
        <f>P3+P5</f>
        <v>0</v>
      </c>
      <c r="T6" s="1"/>
      <c r="U6" s="1"/>
      <c r="V6" s="1"/>
      <c r="W6" s="1" t="s">
        <v>161</v>
      </c>
      <c r="X6" s="1" t="s">
        <v>162</v>
      </c>
      <c r="Y6" s="1" t="s">
        <v>69</v>
      </c>
      <c r="Z6" s="1"/>
      <c r="AA6" s="1"/>
      <c r="AB6" s="45" t="s">
        <v>163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 customHeight="1" x14ac:dyDescent="0.25">
      <c r="A7" s="38"/>
      <c r="B7" s="1"/>
      <c r="C7" s="101" t="s">
        <v>165</v>
      </c>
      <c r="D7" s="102"/>
      <c r="E7" s="102"/>
      <c r="F7" s="103"/>
      <c r="G7" s="118" t="s">
        <v>172</v>
      </c>
      <c r="H7" s="117">
        <v>0</v>
      </c>
      <c r="I7" s="46">
        <f>IF(G7="Teth. Camels",4,3)</f>
        <v>3</v>
      </c>
      <c r="J7" s="46">
        <f>I7*H7</f>
        <v>0</v>
      </c>
      <c r="K7" s="1"/>
      <c r="L7" s="1"/>
      <c r="M7" s="1"/>
      <c r="N7" s="30"/>
      <c r="O7" s="47" t="s">
        <v>177</v>
      </c>
      <c r="P7" s="48" t="str">
        <f>CONCATENATE(R8,"-",S8,"-",T8,"-",U8)</f>
        <v>0-0-0-0</v>
      </c>
      <c r="Q7" s="33"/>
      <c r="R7" s="49">
        <f>S6/4</f>
        <v>0</v>
      </c>
      <c r="S7" s="49">
        <f>(S6-R8)/3</f>
        <v>0</v>
      </c>
      <c r="T7" s="49">
        <f>(S6-(R8+S8))/2</f>
        <v>0</v>
      </c>
      <c r="U7" s="49">
        <f>(S6-(R8+S8+T8))</f>
        <v>0</v>
      </c>
      <c r="V7" s="1"/>
      <c r="W7" s="1">
        <f>SUM(AE10:AE46)</f>
        <v>0</v>
      </c>
      <c r="X7" s="1">
        <f>IF(W7&gt;24,2,IF(W7&gt;=10,1,0))</f>
        <v>0</v>
      </c>
      <c r="Y7" s="1">
        <f>IF(L3="Great",2,IF(L3="Field",1,0))</f>
        <v>0</v>
      </c>
      <c r="Z7" s="1"/>
      <c r="AA7" s="1"/>
      <c r="AB7" s="50" t="s">
        <v>184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6.5" customHeight="1" x14ac:dyDescent="0.25">
      <c r="A8" s="38"/>
      <c r="B8" s="1"/>
      <c r="C8" s="51"/>
      <c r="D8" s="52"/>
      <c r="E8" s="52"/>
      <c r="F8" s="53"/>
      <c r="G8" s="54" t="s">
        <v>185</v>
      </c>
      <c r="H8" s="106" t="s">
        <v>184</v>
      </c>
      <c r="I8" s="107"/>
      <c r="J8" s="55">
        <f>IF(H8="Yes",24,0)</f>
        <v>0</v>
      </c>
      <c r="K8" s="1"/>
      <c r="L8" s="1"/>
      <c r="M8" s="1"/>
      <c r="N8" s="30"/>
      <c r="O8" s="56" t="s">
        <v>161</v>
      </c>
      <c r="P8" s="57" t="str">
        <f>CONCATENATE("+",X7+Y7)</f>
        <v>+0</v>
      </c>
      <c r="Q8" s="33"/>
      <c r="R8" s="1">
        <f t="shared" ref="R8:U8" si="0">ROUNDUP(R7,0)</f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/>
      <c r="W8" s="1"/>
      <c r="X8" s="1"/>
      <c r="Y8" s="1"/>
      <c r="Z8" s="1"/>
      <c r="AA8" s="1"/>
      <c r="AB8" s="58" t="s">
        <v>186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33.75" customHeight="1" x14ac:dyDescent="0.2">
      <c r="A9" s="59" t="s">
        <v>187</v>
      </c>
      <c r="B9" s="60" t="s">
        <v>188</v>
      </c>
      <c r="C9" s="60" t="s">
        <v>189</v>
      </c>
      <c r="D9" s="60" t="s">
        <v>42</v>
      </c>
      <c r="E9" s="60" t="s">
        <v>190</v>
      </c>
      <c r="F9" s="60" t="s">
        <v>191</v>
      </c>
      <c r="G9" s="60" t="s">
        <v>192</v>
      </c>
      <c r="H9" s="60" t="s">
        <v>156</v>
      </c>
      <c r="I9" s="60" t="s">
        <v>175</v>
      </c>
      <c r="J9" s="60" t="s">
        <v>193</v>
      </c>
      <c r="K9" s="61" t="s">
        <v>194</v>
      </c>
      <c r="L9" s="62" t="s">
        <v>195</v>
      </c>
      <c r="M9" s="60" t="s">
        <v>196</v>
      </c>
      <c r="N9" s="60" t="s">
        <v>197</v>
      </c>
      <c r="O9" s="63" t="s">
        <v>198</v>
      </c>
      <c r="P9" s="64" t="s">
        <v>199</v>
      </c>
      <c r="Q9" s="65"/>
      <c r="R9" s="1" t="s">
        <v>200</v>
      </c>
      <c r="S9" s="1" t="s">
        <v>200</v>
      </c>
      <c r="T9" s="1" t="s">
        <v>201</v>
      </c>
      <c r="U9" s="1" t="s">
        <v>202</v>
      </c>
      <c r="V9" s="1" t="s">
        <v>203</v>
      </c>
      <c r="W9" s="1" t="s">
        <v>204</v>
      </c>
      <c r="X9" s="1" t="s">
        <v>201</v>
      </c>
      <c r="Y9" s="1" t="s">
        <v>202</v>
      </c>
      <c r="Z9" s="1" t="s">
        <v>203</v>
      </c>
      <c r="AA9" s="1" t="s">
        <v>205</v>
      </c>
      <c r="AB9" s="1" t="s">
        <v>105</v>
      </c>
      <c r="AC9" s="1" t="s">
        <v>136</v>
      </c>
      <c r="AD9" s="1" t="s">
        <v>206</v>
      </c>
      <c r="AE9" s="1" t="s">
        <v>207</v>
      </c>
      <c r="AF9" s="1"/>
      <c r="AG9" s="1" t="s">
        <v>208</v>
      </c>
      <c r="AH9" s="1" t="s">
        <v>190</v>
      </c>
      <c r="AI9" s="1" t="s">
        <v>106</v>
      </c>
      <c r="AJ9" s="1" t="s">
        <v>209</v>
      </c>
      <c r="AK9" s="1" t="s">
        <v>210</v>
      </c>
      <c r="AL9" s="1" t="s">
        <v>211</v>
      </c>
      <c r="AM9" s="1" t="s">
        <v>132</v>
      </c>
      <c r="AN9" s="1" t="s">
        <v>156</v>
      </c>
      <c r="AO9" s="1" t="s">
        <v>175</v>
      </c>
      <c r="AP9" s="1" t="s">
        <v>212</v>
      </c>
      <c r="AQ9" s="1" t="s">
        <v>213</v>
      </c>
      <c r="AR9" s="1" t="s">
        <v>167</v>
      </c>
      <c r="AS9" s="9" t="s">
        <v>214</v>
      </c>
      <c r="AT9" s="1" t="s">
        <v>215</v>
      </c>
      <c r="AU9" s="1" t="s">
        <v>216</v>
      </c>
      <c r="AV9" s="1"/>
      <c r="AW9" s="1"/>
      <c r="AX9" s="1"/>
      <c r="AY9" s="1"/>
      <c r="AZ9" s="1"/>
      <c r="BA9" s="1"/>
    </row>
    <row r="10" spans="1:53" ht="16.5" customHeight="1" x14ac:dyDescent="0.2">
      <c r="A10" s="66"/>
      <c r="B10" s="66"/>
      <c r="C10" s="67"/>
      <c r="D10" s="67"/>
      <c r="E10" s="67"/>
      <c r="F10" s="67"/>
      <c r="G10" s="67"/>
      <c r="H10" s="67"/>
      <c r="I10" s="67"/>
      <c r="J10" s="68"/>
      <c r="K10" s="67"/>
      <c r="L10" s="69">
        <f t="shared" ref="L10:L46" si="1">AG10</f>
        <v>0</v>
      </c>
      <c r="M10" s="70">
        <f t="shared" ref="M10:M46" si="2">IF(AND(K10="Swede Bg",O10&lt;&gt;""),0,0)</f>
        <v>0</v>
      </c>
      <c r="N10" s="70">
        <f t="shared" ref="N10:N46" si="3">(L10*J10)+M10</f>
        <v>0</v>
      </c>
      <c r="O10" s="71">
        <f t="shared" ref="O10:O46" si="4">IF(B10=B9,"",W10)</f>
        <v>0</v>
      </c>
      <c r="P10" s="72">
        <f t="shared" ref="P10:P46" si="5">IF(B10=B9,"",S10)</f>
        <v>0</v>
      </c>
      <c r="Q10" s="73"/>
      <c r="R10" s="74">
        <f t="shared" ref="R10:R43" si="6">IF((AND(B10=B11,B10=B12,B10=B13)),4,IF(AND(B10=B11,B12=B10),3,IF(B10=B11,2,1)))</f>
        <v>4</v>
      </c>
      <c r="S10" s="75">
        <f t="shared" ref="S10:S43" si="7">IF((AND(B10=B11,B10=B12,B10=B13)),V10,IF(AND(B10=B11,B12=B10),U10,IF(B10=B11,T10,N10)))</f>
        <v>0</v>
      </c>
      <c r="T10" s="76">
        <f t="shared" ref="T10:T46" si="8">N10+N11</f>
        <v>0</v>
      </c>
      <c r="U10" s="76">
        <f t="shared" ref="U10:U46" si="9">N10+N11+N12</f>
        <v>0</v>
      </c>
      <c r="V10" s="76">
        <f t="shared" ref="V10:V46" si="10">N10+N11+N12+N13</f>
        <v>0</v>
      </c>
      <c r="W10" s="74">
        <f t="shared" ref="W10:W43" si="11">IF((AND(B10=B11,B10=B12,B10=B13)),Z10,IF(AND(B10=B11,B12=B10),Y10,IF(B10=B11,X10,(J10-AA10))))</f>
        <v>0</v>
      </c>
      <c r="X10" s="1">
        <f t="shared" ref="X10:X45" si="12">(J10+J11)-(AA10+AA11)</f>
        <v>0</v>
      </c>
      <c r="Y10" s="1">
        <f t="shared" ref="Y10:Y44" si="13">(J10+J11+J12)-(AA10+AA11+AA12)</f>
        <v>0</v>
      </c>
      <c r="Z10" s="1">
        <f t="shared" ref="Z10:Z43" si="14">(J10+J11+J12+J13)-(AA10+AA11+AA12+AA13)</f>
        <v>0</v>
      </c>
      <c r="AA10" s="1">
        <f t="shared" ref="AA10:AA46" si="15">IF(OR(D10="Portable Def",D10="Reg Gun",D10="CmdShot"),J10,0)</f>
        <v>0</v>
      </c>
      <c r="AB10" s="1">
        <f t="shared" ref="AB10:AB46" si="16">IF(D10="Naval",1,0)</f>
        <v>0</v>
      </c>
      <c r="AC10" s="1">
        <f t="shared" ref="AC10:AC46" si="17">IF(O10="",0,IF(O10&gt;12,1,0))</f>
        <v>0</v>
      </c>
      <c r="AD10" s="1">
        <f>IF(D10="",0,VLOOKUP(D10,Lookup!$W$144:$X$165,2,FALSE))</f>
        <v>0</v>
      </c>
      <c r="AE10" s="1">
        <f t="shared" ref="AE10:AE46" si="18">AD10*J10</f>
        <v>0</v>
      </c>
      <c r="AF10" s="1"/>
      <c r="AG10" s="1">
        <f t="shared" ref="AG10:AG46" si="19">SUM(AL10:AU10)</f>
        <v>0</v>
      </c>
      <c r="AH10" s="1" t="str">
        <f t="shared" ref="AH10:AH46" si="20">IF(D10="Naval","Naval",IF(D10="CmdShot","-CmdShot",IF(D10="Artillery",CONCATENATE(D10,"-",G10),IF(AND(D10="Battle Wg",G10="Lt Art"),"Battle Wg-Lt Art",IF(D10="Battle Wg","Battle Wg-",CONCATENATE(E10,"-",D10))))))</f>
        <v>-</v>
      </c>
      <c r="AI10" s="1">
        <f t="shared" ref="AI10:AI46" si="21">IF(ISERROR(VLOOKUP(D10,Definition,2,FALSE)),0,VLOOKUP(D10,Definition,2,FALSE))</f>
        <v>0</v>
      </c>
      <c r="AJ10" s="1" t="str">
        <f>IF(ISERROR(VLOOKUP(G10,Lookup!$J$93:$M$111,4,FALSE)),"NS",VLOOKUP(G10,Lookup!$J$93:$M$111,4,FALSE))</f>
        <v>NS</v>
      </c>
      <c r="AK10" s="1" t="str">
        <f t="shared" ref="AK10:AK43" si="22">IF(O10="",AK9,IF(R10=4,CONCATENATE(AJ10,H10,AJ11,H11,AJ12,H12,AJ13,H13),IF(R10=3,CONCATENATE(AJ10,H10,AJ11,H11,AJ12),IF(R10=2,CONCATENATE(AJ10,H10,AJ11,H11),"one"))))</f>
        <v>NSNSNSNS</v>
      </c>
      <c r="AL10" s="1">
        <f>IF(D10="",0,IF(D10="Portable Def",3,VLOOKUP(AH10,Lookup!$B$3:$F$69,MATCH(F10,Lookup!$B$3:$F$3,0),FALSE)))</f>
        <v>0</v>
      </c>
      <c r="AM10" s="1">
        <f>IF(D10="Naval",0,IF(G10="",0,VLOOKUP(G10,Lookup!$J$93:$L$111,MATCH(AI10,Lookup!$J$93:$L$93,0),FALSE)))</f>
        <v>0</v>
      </c>
      <c r="AN10" s="1">
        <f>IF(H10="",0,VLOOKUP(H10,Lookup!$M$113:$O$128,MATCH(AI10,Lookup!$M$113:$O$113,0),FALSE))</f>
        <v>0</v>
      </c>
      <c r="AO10" s="1">
        <f>(IF(I10="",0,IF(AND(H10="Hvy W",I10="Hvy W"),0,VLOOKUP(I10,Lookup!$P$130:$R$137,MATCH(AI10,Lookup!$M$113:$O$113,0),FALSE))))</f>
        <v>0</v>
      </c>
      <c r="AP10" s="1">
        <f t="shared" ref="AP10:AP46" si="23">IF(M10="Cmd Shot",1,0)</f>
        <v>0</v>
      </c>
      <c r="AQ10" s="1">
        <f t="shared" ref="AQ10:AQ46" si="24">IF(OR(ISERROR(FIND("Pike",AK10)),ISERROR(FIND("Shot",AK10))),0,IF(AJ10="Shot",1,))</f>
        <v>0</v>
      </c>
      <c r="AR10" s="1">
        <f t="shared" ref="AR10:AR46" si="25">IF(K10="Detached Unit",0,IF(AND(ISERROR(FIND("Pike",AK10)),(H10="Bayonet")),2,IF(AND(ISERROR(FIND("Pike",AK10)),(H10="Impact Ft+Bayonet")),2,IF(AND(ISERROR(FIND("Pike",AK10)),(H10="Salvo+Bayonet")),2,0))))</f>
        <v>0</v>
      </c>
      <c r="AS10" s="9">
        <f t="shared" ref="AS10:AS46" si="26">IF(K10="Cmd Shot",14,0)</f>
        <v>0</v>
      </c>
      <c r="AT10" s="1">
        <f>IF(OR(AH10="Battle Wg-",AH10="Battle Wg-Lt Art"),((SUM(AM10:AS10)*2)),0)</f>
        <v>0</v>
      </c>
      <c r="AU10" s="1">
        <f t="shared" ref="AU10:AU46" si="27">IF(AND(K10="Detached Unit",AJ10="Shot"),1,0)</f>
        <v>0</v>
      </c>
      <c r="AV10" s="1"/>
      <c r="AW10" s="1"/>
      <c r="AX10" s="1"/>
      <c r="AY10" s="1"/>
      <c r="AZ10" s="1"/>
      <c r="BA10" s="1"/>
    </row>
    <row r="11" spans="1:53" ht="16.5" customHeight="1" x14ac:dyDescent="0.2">
      <c r="A11" s="77"/>
      <c r="B11" s="77"/>
      <c r="C11" s="78"/>
      <c r="D11" s="78"/>
      <c r="E11" s="78"/>
      <c r="F11" s="78"/>
      <c r="G11" s="78"/>
      <c r="H11" s="78"/>
      <c r="I11" s="78"/>
      <c r="J11" s="79"/>
      <c r="K11" s="78"/>
      <c r="L11" s="69">
        <f t="shared" si="1"/>
        <v>0</v>
      </c>
      <c r="M11" s="70">
        <f t="shared" si="2"/>
        <v>0</v>
      </c>
      <c r="N11" s="70">
        <f t="shared" si="3"/>
        <v>0</v>
      </c>
      <c r="O11" s="71" t="str">
        <f t="shared" si="4"/>
        <v/>
      </c>
      <c r="P11" s="80" t="str">
        <f t="shared" si="5"/>
        <v/>
      </c>
      <c r="Q11" s="73"/>
      <c r="R11" s="74">
        <f t="shared" si="6"/>
        <v>4</v>
      </c>
      <c r="S11" s="75">
        <f t="shared" si="7"/>
        <v>0</v>
      </c>
      <c r="T11" s="76">
        <f t="shared" si="8"/>
        <v>0</v>
      </c>
      <c r="U11" s="76">
        <f t="shared" si="9"/>
        <v>0</v>
      </c>
      <c r="V11" s="76">
        <f t="shared" si="10"/>
        <v>0</v>
      </c>
      <c r="W11" s="74">
        <f t="shared" si="11"/>
        <v>0</v>
      </c>
      <c r="X11" s="1">
        <f t="shared" si="12"/>
        <v>0</v>
      </c>
      <c r="Y11" s="1">
        <f t="shared" si="13"/>
        <v>0</v>
      </c>
      <c r="Z11" s="1">
        <f t="shared" si="14"/>
        <v>0</v>
      </c>
      <c r="AA11" s="1">
        <f t="shared" si="15"/>
        <v>0</v>
      </c>
      <c r="AB11" s="1">
        <f t="shared" si="16"/>
        <v>0</v>
      </c>
      <c r="AC11" s="1">
        <f t="shared" si="17"/>
        <v>0</v>
      </c>
      <c r="AD11" s="1">
        <f>IF(D11="",0,VLOOKUP(D11,Lookup!$W$144:$X$165,2,FALSE))</f>
        <v>0</v>
      </c>
      <c r="AE11" s="1">
        <f t="shared" si="18"/>
        <v>0</v>
      </c>
      <c r="AF11" s="1"/>
      <c r="AG11" s="1">
        <f t="shared" si="19"/>
        <v>0</v>
      </c>
      <c r="AH11" s="1" t="str">
        <f t="shared" si="20"/>
        <v>-</v>
      </c>
      <c r="AI11" s="1">
        <f t="shared" si="21"/>
        <v>0</v>
      </c>
      <c r="AJ11" s="1" t="str">
        <f>IF(ISERROR(VLOOKUP(G11,Lookup!$J$93:$M$111,4,FALSE)),"NS",VLOOKUP(G11,Lookup!$J$93:$M$111,4,FALSE))</f>
        <v>NS</v>
      </c>
      <c r="AK11" s="1" t="str">
        <f t="shared" si="22"/>
        <v>NSNSNSNS</v>
      </c>
      <c r="AL11" s="1">
        <f>IF(D11="",0,IF(D11="Portable Def",3,VLOOKUP(AH11,Lookup!$B$3:$F$69,MATCH(F11,Lookup!$B$3:$F$3,0),FALSE)))</f>
        <v>0</v>
      </c>
      <c r="AM11" s="1">
        <f>IF(D11="Naval",0,IF(G11="",0,VLOOKUP(G11,Lookup!$J$93:$L$111,MATCH(AI11,Lookup!$J$93:$L$93,0),FALSE)))</f>
        <v>0</v>
      </c>
      <c r="AN11" s="1">
        <f>IF(H11="",0,VLOOKUP(H11,Lookup!$M$113:$O$128,MATCH(AI11,Lookup!$M$113:$O$113,0),FALSE))</f>
        <v>0</v>
      </c>
      <c r="AO11" s="1">
        <f>(IF(I11="",0,IF(AND(H11="Hvy W",I11="Hvy W"),0,VLOOKUP(I11,Lookup!$P$130:$R$137,MATCH(AI11,Lookup!$M$113:$O$113,0),FALSE))))</f>
        <v>0</v>
      </c>
      <c r="AP11" s="1">
        <f t="shared" si="23"/>
        <v>0</v>
      </c>
      <c r="AQ11" s="1">
        <f t="shared" si="24"/>
        <v>0</v>
      </c>
      <c r="AR11" s="1">
        <f t="shared" si="25"/>
        <v>0</v>
      </c>
      <c r="AS11" s="9">
        <f t="shared" si="26"/>
        <v>0</v>
      </c>
      <c r="AT11" s="1">
        <f t="shared" ref="AT11:AT46" si="28">IF(OR(AH11="Battle Wg-",AH11="Battle Wg-Lt Art"),(SUM(AM11:AS11)*2),0)</f>
        <v>0</v>
      </c>
      <c r="AU11" s="1">
        <f t="shared" si="27"/>
        <v>0</v>
      </c>
      <c r="AV11" s="1"/>
      <c r="AW11" s="1"/>
      <c r="AX11" s="1"/>
      <c r="AY11" s="1"/>
      <c r="AZ11" s="1"/>
      <c r="BA11" s="1"/>
    </row>
    <row r="12" spans="1:53" ht="16.5" customHeight="1" x14ac:dyDescent="0.2">
      <c r="A12" s="77"/>
      <c r="B12" s="77"/>
      <c r="C12" s="78"/>
      <c r="D12" s="78"/>
      <c r="E12" s="78"/>
      <c r="F12" s="78"/>
      <c r="G12" s="78"/>
      <c r="H12" s="78"/>
      <c r="I12" s="78"/>
      <c r="J12" s="79"/>
      <c r="K12" s="78"/>
      <c r="L12" s="69">
        <f t="shared" si="1"/>
        <v>0</v>
      </c>
      <c r="M12" s="70">
        <f t="shared" si="2"/>
        <v>0</v>
      </c>
      <c r="N12" s="70">
        <f t="shared" si="3"/>
        <v>0</v>
      </c>
      <c r="O12" s="71" t="str">
        <f t="shared" si="4"/>
        <v/>
      </c>
      <c r="P12" s="80" t="str">
        <f t="shared" si="5"/>
        <v/>
      </c>
      <c r="Q12" s="73"/>
      <c r="R12" s="74">
        <f t="shared" si="6"/>
        <v>4</v>
      </c>
      <c r="S12" s="75">
        <f t="shared" si="7"/>
        <v>0</v>
      </c>
      <c r="T12" s="76">
        <f t="shared" si="8"/>
        <v>0</v>
      </c>
      <c r="U12" s="76">
        <f t="shared" si="9"/>
        <v>0</v>
      </c>
      <c r="V12" s="76">
        <f t="shared" si="10"/>
        <v>0</v>
      </c>
      <c r="W12" s="74">
        <f t="shared" si="11"/>
        <v>0</v>
      </c>
      <c r="X12" s="1">
        <f t="shared" si="12"/>
        <v>0</v>
      </c>
      <c r="Y12" s="1">
        <f t="shared" si="13"/>
        <v>0</v>
      </c>
      <c r="Z12" s="1">
        <f t="shared" si="14"/>
        <v>0</v>
      </c>
      <c r="AA12" s="1">
        <f t="shared" si="15"/>
        <v>0</v>
      </c>
      <c r="AB12" s="1">
        <f t="shared" si="16"/>
        <v>0</v>
      </c>
      <c r="AC12" s="1">
        <f t="shared" si="17"/>
        <v>0</v>
      </c>
      <c r="AD12" s="1">
        <f>IF(D12="",0,VLOOKUP(D12,Lookup!$W$144:$X$165,2,FALSE))</f>
        <v>0</v>
      </c>
      <c r="AE12" s="1">
        <f t="shared" si="18"/>
        <v>0</v>
      </c>
      <c r="AF12" s="1"/>
      <c r="AG12" s="1">
        <f t="shared" si="19"/>
        <v>0</v>
      </c>
      <c r="AH12" s="1" t="str">
        <f t="shared" si="20"/>
        <v>-</v>
      </c>
      <c r="AI12" s="1">
        <f t="shared" si="21"/>
        <v>0</v>
      </c>
      <c r="AJ12" s="1" t="str">
        <f>IF(ISERROR(VLOOKUP(G12,Lookup!$J$93:$M$111,4,FALSE)),"NS",VLOOKUP(G12,Lookup!$J$93:$M$111,4,FALSE))</f>
        <v>NS</v>
      </c>
      <c r="AK12" s="1" t="str">
        <f t="shared" si="22"/>
        <v>NSNSNSNS</v>
      </c>
      <c r="AL12" s="1">
        <f>IF(D12="",0,IF(D12="Portable Def",3,VLOOKUP(AH12,Lookup!$B$3:$F$69,MATCH(F12,Lookup!$B$3:$F$3,0),FALSE)))</f>
        <v>0</v>
      </c>
      <c r="AM12" s="1">
        <f>IF(D12="Naval",0,IF(G12="",0,VLOOKUP(G12,Lookup!$J$93:$L$111,MATCH(AI12,Lookup!$J$93:$L$93,0),FALSE)))</f>
        <v>0</v>
      </c>
      <c r="AN12" s="1">
        <f>IF(H12="",0,VLOOKUP(H12,Lookup!$M$113:$O$128,MATCH(AI12,Lookup!$M$113:$O$113,0),FALSE))</f>
        <v>0</v>
      </c>
      <c r="AO12" s="1">
        <f>(IF(I12="",0,IF(AND(H12="Hvy W",I12="Hvy W"),0,VLOOKUP(I12,Lookup!$P$130:$R$137,MATCH(AI12,Lookup!$M$113:$O$113,0),FALSE))))</f>
        <v>0</v>
      </c>
      <c r="AP12" s="1">
        <f t="shared" si="23"/>
        <v>0</v>
      </c>
      <c r="AQ12" s="1">
        <f t="shared" si="24"/>
        <v>0</v>
      </c>
      <c r="AR12" s="1">
        <f t="shared" si="25"/>
        <v>0</v>
      </c>
      <c r="AS12" s="9">
        <f t="shared" si="26"/>
        <v>0</v>
      </c>
      <c r="AT12" s="1">
        <f t="shared" si="28"/>
        <v>0</v>
      </c>
      <c r="AU12" s="1">
        <f t="shared" si="27"/>
        <v>0</v>
      </c>
      <c r="AV12" s="1"/>
      <c r="AW12" s="1"/>
      <c r="AX12" s="1"/>
      <c r="AY12" s="1"/>
      <c r="AZ12" s="1"/>
      <c r="BA12" s="1"/>
    </row>
    <row r="13" spans="1:53" ht="16.5" customHeight="1" x14ac:dyDescent="0.2">
      <c r="A13" s="58"/>
      <c r="B13" s="77"/>
      <c r="C13" s="78"/>
      <c r="D13" s="78"/>
      <c r="E13" s="78"/>
      <c r="F13" s="78"/>
      <c r="G13" s="78"/>
      <c r="H13" s="78"/>
      <c r="I13" s="78"/>
      <c r="J13" s="79"/>
      <c r="K13" s="78"/>
      <c r="L13" s="69">
        <f t="shared" si="1"/>
        <v>0</v>
      </c>
      <c r="M13" s="70">
        <f t="shared" si="2"/>
        <v>0</v>
      </c>
      <c r="N13" s="70">
        <f t="shared" si="3"/>
        <v>0</v>
      </c>
      <c r="O13" s="71" t="str">
        <f t="shared" si="4"/>
        <v/>
      </c>
      <c r="P13" s="80" t="str">
        <f t="shared" si="5"/>
        <v/>
      </c>
      <c r="Q13" s="73"/>
      <c r="R13" s="74">
        <f t="shared" si="6"/>
        <v>4</v>
      </c>
      <c r="S13" s="75">
        <f t="shared" si="7"/>
        <v>0</v>
      </c>
      <c r="T13" s="76">
        <f t="shared" si="8"/>
        <v>0</v>
      </c>
      <c r="U13" s="76">
        <f t="shared" si="9"/>
        <v>0</v>
      </c>
      <c r="V13" s="76">
        <f t="shared" si="10"/>
        <v>0</v>
      </c>
      <c r="W13" s="74">
        <f t="shared" si="11"/>
        <v>0</v>
      </c>
      <c r="X13" s="1">
        <f t="shared" si="12"/>
        <v>0</v>
      </c>
      <c r="Y13" s="1">
        <f t="shared" si="13"/>
        <v>0</v>
      </c>
      <c r="Z13" s="1">
        <f t="shared" si="14"/>
        <v>0</v>
      </c>
      <c r="AA13" s="1">
        <f t="shared" si="15"/>
        <v>0</v>
      </c>
      <c r="AB13" s="1">
        <f t="shared" si="16"/>
        <v>0</v>
      </c>
      <c r="AC13" s="1">
        <f t="shared" si="17"/>
        <v>0</v>
      </c>
      <c r="AD13" s="1">
        <f>IF(D13="",0,VLOOKUP(D13,Lookup!$W$144:$X$165,2,FALSE))</f>
        <v>0</v>
      </c>
      <c r="AE13" s="1">
        <f t="shared" si="18"/>
        <v>0</v>
      </c>
      <c r="AF13" s="1"/>
      <c r="AG13" s="1">
        <f t="shared" si="19"/>
        <v>0</v>
      </c>
      <c r="AH13" s="1" t="str">
        <f t="shared" si="20"/>
        <v>-</v>
      </c>
      <c r="AI13" s="1">
        <f t="shared" si="21"/>
        <v>0</v>
      </c>
      <c r="AJ13" s="1" t="str">
        <f>IF(ISERROR(VLOOKUP(G13,Lookup!$J$93:$M$111,4,FALSE)),"NS",VLOOKUP(G13,Lookup!$J$93:$M$111,4,FALSE))</f>
        <v>NS</v>
      </c>
      <c r="AK13" s="1" t="str">
        <f t="shared" si="22"/>
        <v>NSNSNSNS</v>
      </c>
      <c r="AL13" s="1">
        <f>IF(D13="",0,IF(D13="Portable Def",3,VLOOKUP(AH13,Lookup!$B$3:$F$69,MATCH(F13,Lookup!$B$3:$F$3,0),FALSE)))</f>
        <v>0</v>
      </c>
      <c r="AM13" s="1">
        <f>IF(D13="Naval",0,IF(G13="",0,VLOOKUP(G13,Lookup!$J$93:$L$111,MATCH(AI13,Lookup!$J$93:$L$93,0),FALSE)))</f>
        <v>0</v>
      </c>
      <c r="AN13" s="1">
        <f>IF(H13="",0,VLOOKUP(H13,Lookup!$M$113:$O$128,MATCH(AI13,Lookup!$M$113:$O$113,0),FALSE))</f>
        <v>0</v>
      </c>
      <c r="AO13" s="1">
        <f>(IF(I13="",0,IF(AND(H13="Hvy W",I13="Hvy W"),0,VLOOKUP(I13,Lookup!$P$130:$R$137,MATCH(AI13,Lookup!$M$113:$O$113,0),FALSE))))</f>
        <v>0</v>
      </c>
      <c r="AP13" s="1">
        <f t="shared" si="23"/>
        <v>0</v>
      </c>
      <c r="AQ13" s="1">
        <f t="shared" si="24"/>
        <v>0</v>
      </c>
      <c r="AR13" s="1">
        <f t="shared" si="25"/>
        <v>0</v>
      </c>
      <c r="AS13" s="9">
        <f t="shared" si="26"/>
        <v>0</v>
      </c>
      <c r="AT13" s="1">
        <f t="shared" si="28"/>
        <v>0</v>
      </c>
      <c r="AU13" s="1">
        <f t="shared" si="27"/>
        <v>0</v>
      </c>
      <c r="AV13" s="1"/>
      <c r="AW13" s="1"/>
      <c r="AX13" s="1"/>
      <c r="AY13" s="1"/>
      <c r="AZ13" s="1"/>
      <c r="BA13" s="1"/>
    </row>
    <row r="14" spans="1:53" ht="16.5" customHeight="1" x14ac:dyDescent="0.2">
      <c r="A14" s="77"/>
      <c r="B14" s="77"/>
      <c r="C14" s="78"/>
      <c r="D14" s="78"/>
      <c r="E14" s="78"/>
      <c r="F14" s="78"/>
      <c r="G14" s="78"/>
      <c r="H14" s="78"/>
      <c r="I14" s="78"/>
      <c r="J14" s="79"/>
      <c r="K14" s="78"/>
      <c r="L14" s="69">
        <f t="shared" si="1"/>
        <v>0</v>
      </c>
      <c r="M14" s="70">
        <f t="shared" si="2"/>
        <v>0</v>
      </c>
      <c r="N14" s="70">
        <f t="shared" si="3"/>
        <v>0</v>
      </c>
      <c r="O14" s="71" t="str">
        <f t="shared" si="4"/>
        <v/>
      </c>
      <c r="P14" s="80" t="str">
        <f t="shared" si="5"/>
        <v/>
      </c>
      <c r="Q14" s="73"/>
      <c r="R14" s="74">
        <f t="shared" si="6"/>
        <v>4</v>
      </c>
      <c r="S14" s="75">
        <f t="shared" si="7"/>
        <v>0</v>
      </c>
      <c r="T14" s="76">
        <f t="shared" si="8"/>
        <v>0</v>
      </c>
      <c r="U14" s="76">
        <f t="shared" si="9"/>
        <v>0</v>
      </c>
      <c r="V14" s="76">
        <f t="shared" si="10"/>
        <v>0</v>
      </c>
      <c r="W14" s="74">
        <f t="shared" si="11"/>
        <v>0</v>
      </c>
      <c r="X14" s="1">
        <f t="shared" si="12"/>
        <v>0</v>
      </c>
      <c r="Y14" s="1">
        <f t="shared" si="13"/>
        <v>0</v>
      </c>
      <c r="Z14" s="1">
        <f t="shared" si="14"/>
        <v>0</v>
      </c>
      <c r="AA14" s="1">
        <f t="shared" si="15"/>
        <v>0</v>
      </c>
      <c r="AB14" s="1">
        <f t="shared" si="16"/>
        <v>0</v>
      </c>
      <c r="AC14" s="1">
        <f t="shared" si="17"/>
        <v>0</v>
      </c>
      <c r="AD14" s="1">
        <f>IF(D14="",0,VLOOKUP(D14,Lookup!$W$144:$X$165,2,FALSE))</f>
        <v>0</v>
      </c>
      <c r="AE14" s="1">
        <f t="shared" si="18"/>
        <v>0</v>
      </c>
      <c r="AF14" s="1"/>
      <c r="AG14" s="1">
        <f t="shared" si="19"/>
        <v>0</v>
      </c>
      <c r="AH14" s="1" t="str">
        <f t="shared" si="20"/>
        <v>-</v>
      </c>
      <c r="AI14" s="1">
        <f t="shared" si="21"/>
        <v>0</v>
      </c>
      <c r="AJ14" s="1" t="str">
        <f>IF(ISERROR(VLOOKUP(G14,Lookup!$J$93:$M$111,4,FALSE)),"NS",VLOOKUP(G14,Lookup!$J$93:$M$111,4,FALSE))</f>
        <v>NS</v>
      </c>
      <c r="AK14" s="1" t="str">
        <f t="shared" si="22"/>
        <v>NSNSNSNS</v>
      </c>
      <c r="AL14" s="1">
        <f>IF(D14="",0,IF(D14="Portable Def",3,VLOOKUP(AH14,Lookup!$B$3:$F$69,MATCH(F14,Lookup!$B$3:$F$3,0),FALSE)))</f>
        <v>0</v>
      </c>
      <c r="AM14" s="1">
        <f>IF(D14="Naval",0,IF(G14="",0,VLOOKUP(G14,Lookup!$J$93:$L$111,MATCH(AI14,Lookup!$J$93:$L$93,0),FALSE)))</f>
        <v>0</v>
      </c>
      <c r="AN14" s="1">
        <f>IF(H14="",0,VLOOKUP(H14,Lookup!$M$113:$O$128,MATCH(AI14,Lookup!$M$113:$O$113,0),FALSE))</f>
        <v>0</v>
      </c>
      <c r="AO14" s="1">
        <f>(IF(I14="",0,IF(AND(H14="Hvy W",I14="Hvy W"),0,VLOOKUP(I14,Lookup!$P$130:$R$137,MATCH(AI14,Lookup!$M$113:$O$113,0),FALSE))))</f>
        <v>0</v>
      </c>
      <c r="AP14" s="1">
        <f t="shared" si="23"/>
        <v>0</v>
      </c>
      <c r="AQ14" s="1">
        <f t="shared" si="24"/>
        <v>0</v>
      </c>
      <c r="AR14" s="1">
        <f t="shared" si="25"/>
        <v>0</v>
      </c>
      <c r="AS14" s="9">
        <f t="shared" si="26"/>
        <v>0</v>
      </c>
      <c r="AT14" s="1">
        <f t="shared" si="28"/>
        <v>0</v>
      </c>
      <c r="AU14" s="1">
        <f t="shared" si="27"/>
        <v>0</v>
      </c>
      <c r="AV14" s="1"/>
      <c r="AW14" s="1"/>
      <c r="AX14" s="1"/>
      <c r="AY14" s="1"/>
      <c r="AZ14" s="1"/>
      <c r="BA14" s="1"/>
    </row>
    <row r="15" spans="1:53" ht="16.5" customHeight="1" x14ac:dyDescent="0.2">
      <c r="A15" s="77"/>
      <c r="B15" s="77"/>
      <c r="C15" s="78"/>
      <c r="D15" s="78"/>
      <c r="E15" s="78"/>
      <c r="F15" s="78"/>
      <c r="G15" s="78"/>
      <c r="H15" s="78"/>
      <c r="I15" s="78"/>
      <c r="J15" s="79"/>
      <c r="K15" s="78"/>
      <c r="L15" s="69">
        <f t="shared" si="1"/>
        <v>0</v>
      </c>
      <c r="M15" s="70">
        <f t="shared" si="2"/>
        <v>0</v>
      </c>
      <c r="N15" s="70">
        <f t="shared" si="3"/>
        <v>0</v>
      </c>
      <c r="O15" s="71" t="str">
        <f t="shared" si="4"/>
        <v/>
      </c>
      <c r="P15" s="80" t="str">
        <f t="shared" si="5"/>
        <v/>
      </c>
      <c r="Q15" s="73"/>
      <c r="R15" s="74">
        <f t="shared" si="6"/>
        <v>4</v>
      </c>
      <c r="S15" s="75">
        <f t="shared" si="7"/>
        <v>0</v>
      </c>
      <c r="T15" s="76">
        <f t="shared" si="8"/>
        <v>0</v>
      </c>
      <c r="U15" s="76">
        <f t="shared" si="9"/>
        <v>0</v>
      </c>
      <c r="V15" s="76">
        <f t="shared" si="10"/>
        <v>0</v>
      </c>
      <c r="W15" s="74">
        <f t="shared" si="11"/>
        <v>0</v>
      </c>
      <c r="X15" s="1">
        <f t="shared" si="12"/>
        <v>0</v>
      </c>
      <c r="Y15" s="1">
        <f t="shared" si="13"/>
        <v>0</v>
      </c>
      <c r="Z15" s="1">
        <f t="shared" si="14"/>
        <v>0</v>
      </c>
      <c r="AA15" s="1">
        <f t="shared" si="15"/>
        <v>0</v>
      </c>
      <c r="AB15" s="1">
        <f t="shared" si="16"/>
        <v>0</v>
      </c>
      <c r="AC15" s="1">
        <f t="shared" si="17"/>
        <v>0</v>
      </c>
      <c r="AD15" s="1">
        <f>IF(D15="",0,VLOOKUP(D15,Lookup!$W$144:$X$165,2,FALSE))</f>
        <v>0</v>
      </c>
      <c r="AE15" s="1">
        <f t="shared" si="18"/>
        <v>0</v>
      </c>
      <c r="AF15" s="1"/>
      <c r="AG15" s="1">
        <f t="shared" si="19"/>
        <v>0</v>
      </c>
      <c r="AH15" s="1" t="str">
        <f t="shared" si="20"/>
        <v>-</v>
      </c>
      <c r="AI15" s="1">
        <f t="shared" si="21"/>
        <v>0</v>
      </c>
      <c r="AJ15" s="1" t="str">
        <f>IF(ISERROR(VLOOKUP(G15,Lookup!$J$93:$M$111,4,FALSE)),"NS",VLOOKUP(G15,Lookup!$J$93:$M$111,4,FALSE))</f>
        <v>NS</v>
      </c>
      <c r="AK15" s="1" t="str">
        <f t="shared" si="22"/>
        <v>NSNSNSNS</v>
      </c>
      <c r="AL15" s="1">
        <f>IF(D15="",0,IF(D15="Portable Def",3,VLOOKUP(AH15,Lookup!$B$3:$F$69,MATCH(F15,Lookup!$B$3:$F$3,0),FALSE)))</f>
        <v>0</v>
      </c>
      <c r="AM15" s="1">
        <f>IF(D15="Naval",0,IF(G15="",0,VLOOKUP(G15,Lookup!$J$93:$L$111,MATCH(AI15,Lookup!$J$93:$L$93,0),FALSE)))</f>
        <v>0</v>
      </c>
      <c r="AN15" s="1">
        <f>IF(H15="",0,VLOOKUP(H15,Lookup!$M$113:$O$128,MATCH(AI15,Lookup!$M$113:$O$113,0),FALSE))</f>
        <v>0</v>
      </c>
      <c r="AO15" s="1">
        <f>(IF(I15="",0,IF(AND(H15="Hvy W",I15="Hvy W"),0,VLOOKUP(I15,Lookup!$P$130:$R$137,MATCH(AI15,Lookup!$M$113:$O$113,0),FALSE))))</f>
        <v>0</v>
      </c>
      <c r="AP15" s="1">
        <f t="shared" si="23"/>
        <v>0</v>
      </c>
      <c r="AQ15" s="1">
        <f t="shared" si="24"/>
        <v>0</v>
      </c>
      <c r="AR15" s="1">
        <f t="shared" si="25"/>
        <v>0</v>
      </c>
      <c r="AS15" s="9">
        <f t="shared" si="26"/>
        <v>0</v>
      </c>
      <c r="AT15" s="1">
        <f t="shared" si="28"/>
        <v>0</v>
      </c>
      <c r="AU15" s="1">
        <f t="shared" si="27"/>
        <v>0</v>
      </c>
      <c r="AV15" s="1"/>
      <c r="AW15" s="1"/>
      <c r="AX15" s="1"/>
      <c r="AY15" s="1"/>
      <c r="AZ15" s="1"/>
      <c r="BA15" s="1"/>
    </row>
    <row r="16" spans="1:53" ht="16.5" customHeight="1" x14ac:dyDescent="0.2">
      <c r="A16" s="81"/>
      <c r="B16" s="77"/>
      <c r="C16" s="78"/>
      <c r="D16" s="78"/>
      <c r="E16" s="78"/>
      <c r="F16" s="78"/>
      <c r="G16" s="78"/>
      <c r="H16" s="78"/>
      <c r="I16" s="78"/>
      <c r="J16" s="79"/>
      <c r="K16" s="78"/>
      <c r="L16" s="69">
        <f t="shared" si="1"/>
        <v>0</v>
      </c>
      <c r="M16" s="70">
        <f t="shared" si="2"/>
        <v>0</v>
      </c>
      <c r="N16" s="70">
        <f t="shared" si="3"/>
        <v>0</v>
      </c>
      <c r="O16" s="71" t="str">
        <f t="shared" si="4"/>
        <v/>
      </c>
      <c r="P16" s="80" t="str">
        <f t="shared" si="5"/>
        <v/>
      </c>
      <c r="Q16" s="73"/>
      <c r="R16" s="74">
        <f t="shared" si="6"/>
        <v>4</v>
      </c>
      <c r="S16" s="75">
        <f t="shared" si="7"/>
        <v>0</v>
      </c>
      <c r="T16" s="76">
        <f t="shared" si="8"/>
        <v>0</v>
      </c>
      <c r="U16" s="76">
        <f t="shared" si="9"/>
        <v>0</v>
      </c>
      <c r="V16" s="76">
        <f t="shared" si="10"/>
        <v>0</v>
      </c>
      <c r="W16" s="74">
        <f t="shared" si="11"/>
        <v>0</v>
      </c>
      <c r="X16" s="1">
        <f t="shared" si="12"/>
        <v>0</v>
      </c>
      <c r="Y16" s="1">
        <f t="shared" si="13"/>
        <v>0</v>
      </c>
      <c r="Z16" s="1">
        <f t="shared" si="14"/>
        <v>0</v>
      </c>
      <c r="AA16" s="1">
        <f t="shared" si="15"/>
        <v>0</v>
      </c>
      <c r="AB16" s="1">
        <f t="shared" si="16"/>
        <v>0</v>
      </c>
      <c r="AC16" s="1">
        <f t="shared" si="17"/>
        <v>0</v>
      </c>
      <c r="AD16" s="1">
        <f>IF(D16="",0,VLOOKUP(D16,Lookup!$W$144:$X$165,2,FALSE))</f>
        <v>0</v>
      </c>
      <c r="AE16" s="1">
        <f t="shared" si="18"/>
        <v>0</v>
      </c>
      <c r="AF16" s="1"/>
      <c r="AG16" s="1">
        <f t="shared" si="19"/>
        <v>0</v>
      </c>
      <c r="AH16" s="1" t="str">
        <f t="shared" si="20"/>
        <v>-</v>
      </c>
      <c r="AI16" s="1">
        <f t="shared" si="21"/>
        <v>0</v>
      </c>
      <c r="AJ16" s="1" t="str">
        <f>IF(ISERROR(VLOOKUP(G16,Lookup!$J$93:$M$111,4,FALSE)),"NS",VLOOKUP(G16,Lookup!$J$93:$M$111,4,FALSE))</f>
        <v>NS</v>
      </c>
      <c r="AK16" s="1" t="str">
        <f t="shared" si="22"/>
        <v>NSNSNSNS</v>
      </c>
      <c r="AL16" s="1">
        <f>IF(D16="",0,IF(D16="Portable Def",3,VLOOKUP(AH16,Lookup!$B$3:$F$69,MATCH(F16,Lookup!$B$3:$F$3,0),FALSE)))</f>
        <v>0</v>
      </c>
      <c r="AM16" s="1">
        <f>IF(D16="Naval",0,IF(G16="",0,VLOOKUP(G16,Lookup!$J$93:$L$111,MATCH(AI16,Lookup!$J$93:$L$93,0),FALSE)))</f>
        <v>0</v>
      </c>
      <c r="AN16" s="1">
        <f>IF(H16="",0,VLOOKUP(H16,Lookup!$M$113:$O$128,MATCH(AI16,Lookup!$M$113:$O$113,0),FALSE))</f>
        <v>0</v>
      </c>
      <c r="AO16" s="1">
        <f>(IF(I16="",0,IF(AND(H16="Hvy W",I16="Hvy W"),0,VLOOKUP(I16,Lookup!$P$130:$R$137,MATCH(AI16,Lookup!$M$113:$O$113,0),FALSE))))</f>
        <v>0</v>
      </c>
      <c r="AP16" s="1">
        <f t="shared" si="23"/>
        <v>0</v>
      </c>
      <c r="AQ16" s="1">
        <f t="shared" si="24"/>
        <v>0</v>
      </c>
      <c r="AR16" s="1">
        <f t="shared" si="25"/>
        <v>0</v>
      </c>
      <c r="AS16" s="9">
        <f t="shared" si="26"/>
        <v>0</v>
      </c>
      <c r="AT16" s="1">
        <f t="shared" si="28"/>
        <v>0</v>
      </c>
      <c r="AU16" s="1">
        <f t="shared" si="27"/>
        <v>0</v>
      </c>
      <c r="AV16" s="1"/>
      <c r="AW16" s="1"/>
      <c r="AX16" s="1"/>
      <c r="AY16" s="1"/>
      <c r="AZ16" s="1"/>
      <c r="BA16" s="1"/>
    </row>
    <row r="17" spans="1:53" ht="16.5" customHeight="1" x14ac:dyDescent="0.2">
      <c r="A17" s="82"/>
      <c r="B17" s="77"/>
      <c r="C17" s="78"/>
      <c r="D17" s="78"/>
      <c r="E17" s="78"/>
      <c r="F17" s="78"/>
      <c r="G17" s="78"/>
      <c r="H17" s="78"/>
      <c r="I17" s="78"/>
      <c r="J17" s="79"/>
      <c r="K17" s="78"/>
      <c r="L17" s="69">
        <f t="shared" si="1"/>
        <v>0</v>
      </c>
      <c r="M17" s="70">
        <f t="shared" si="2"/>
        <v>0</v>
      </c>
      <c r="N17" s="70">
        <f t="shared" si="3"/>
        <v>0</v>
      </c>
      <c r="O17" s="71" t="str">
        <f t="shared" si="4"/>
        <v/>
      </c>
      <c r="P17" s="80" t="str">
        <f t="shared" si="5"/>
        <v/>
      </c>
      <c r="Q17" s="73"/>
      <c r="R17" s="74">
        <f t="shared" si="6"/>
        <v>4</v>
      </c>
      <c r="S17" s="75">
        <f t="shared" si="7"/>
        <v>0</v>
      </c>
      <c r="T17" s="76">
        <f t="shared" si="8"/>
        <v>0</v>
      </c>
      <c r="U17" s="76">
        <f t="shared" si="9"/>
        <v>0</v>
      </c>
      <c r="V17" s="76">
        <f t="shared" si="10"/>
        <v>0</v>
      </c>
      <c r="W17" s="74">
        <f t="shared" si="11"/>
        <v>0</v>
      </c>
      <c r="X17" s="1">
        <f t="shared" si="12"/>
        <v>0</v>
      </c>
      <c r="Y17" s="1">
        <f t="shared" si="13"/>
        <v>0</v>
      </c>
      <c r="Z17" s="1">
        <f t="shared" si="14"/>
        <v>0</v>
      </c>
      <c r="AA17" s="1">
        <f t="shared" si="15"/>
        <v>0</v>
      </c>
      <c r="AB17" s="1">
        <f t="shared" si="16"/>
        <v>0</v>
      </c>
      <c r="AC17" s="1">
        <f t="shared" si="17"/>
        <v>0</v>
      </c>
      <c r="AD17" s="1">
        <f>IF(D17="",0,VLOOKUP(D17,Lookup!$W$144:$X$165,2,FALSE))</f>
        <v>0</v>
      </c>
      <c r="AE17" s="1">
        <f t="shared" si="18"/>
        <v>0</v>
      </c>
      <c r="AF17" s="1"/>
      <c r="AG17" s="1">
        <f t="shared" si="19"/>
        <v>0</v>
      </c>
      <c r="AH17" s="1" t="str">
        <f t="shared" si="20"/>
        <v>-</v>
      </c>
      <c r="AI17" s="1">
        <f t="shared" si="21"/>
        <v>0</v>
      </c>
      <c r="AJ17" s="1" t="str">
        <f>IF(ISERROR(VLOOKUP(G17,Lookup!$J$93:$M$111,4,FALSE)),"NS",VLOOKUP(G17,Lookup!$J$93:$M$111,4,FALSE))</f>
        <v>NS</v>
      </c>
      <c r="AK17" s="1" t="str">
        <f t="shared" si="22"/>
        <v>NSNSNSNS</v>
      </c>
      <c r="AL17" s="1">
        <f>IF(D17="",0,IF(D17="Portable Def",3,VLOOKUP(AH17,Lookup!$B$3:$F$69,MATCH(F17,Lookup!$B$3:$F$3,0),FALSE)))</f>
        <v>0</v>
      </c>
      <c r="AM17" s="1">
        <f>IF(D17="Naval",0,IF(G17="",0,VLOOKUP(G17,Lookup!$J$93:$L$111,MATCH(AI17,Lookup!$J$93:$L$93,0),FALSE)))</f>
        <v>0</v>
      </c>
      <c r="AN17" s="1">
        <f>IF(H17="",0,VLOOKUP(H17,Lookup!$M$113:$O$128,MATCH(AI17,Lookup!$M$113:$O$113,0),FALSE))</f>
        <v>0</v>
      </c>
      <c r="AO17" s="1">
        <f>(IF(I17="",0,IF(AND(H17="Hvy W",I17="Hvy W"),0,VLOOKUP(I17,Lookup!$P$130:$R$137,MATCH(AI17,Lookup!$M$113:$O$113,0),FALSE))))</f>
        <v>0</v>
      </c>
      <c r="AP17" s="1">
        <f t="shared" si="23"/>
        <v>0</v>
      </c>
      <c r="AQ17" s="1">
        <f t="shared" si="24"/>
        <v>0</v>
      </c>
      <c r="AR17" s="1">
        <f t="shared" si="25"/>
        <v>0</v>
      </c>
      <c r="AS17" s="9">
        <f t="shared" si="26"/>
        <v>0</v>
      </c>
      <c r="AT17" s="1">
        <f t="shared" si="28"/>
        <v>0</v>
      </c>
      <c r="AU17" s="1">
        <f t="shared" si="27"/>
        <v>0</v>
      </c>
      <c r="AV17" s="1"/>
      <c r="AW17" s="1"/>
      <c r="AX17" s="1"/>
      <c r="AY17" s="1"/>
      <c r="AZ17" s="1"/>
      <c r="BA17" s="1"/>
    </row>
    <row r="18" spans="1:53" ht="16.5" customHeight="1" x14ac:dyDescent="0.2">
      <c r="A18" s="82"/>
      <c r="B18" s="77"/>
      <c r="C18" s="78"/>
      <c r="D18" s="78"/>
      <c r="E18" s="78"/>
      <c r="F18" s="78"/>
      <c r="G18" s="78"/>
      <c r="H18" s="78"/>
      <c r="I18" s="78"/>
      <c r="J18" s="79"/>
      <c r="K18" s="78"/>
      <c r="L18" s="69">
        <f t="shared" si="1"/>
        <v>0</v>
      </c>
      <c r="M18" s="70">
        <f t="shared" si="2"/>
        <v>0</v>
      </c>
      <c r="N18" s="70">
        <f t="shared" si="3"/>
        <v>0</v>
      </c>
      <c r="O18" s="71" t="str">
        <f t="shared" si="4"/>
        <v/>
      </c>
      <c r="P18" s="80" t="str">
        <f t="shared" si="5"/>
        <v/>
      </c>
      <c r="Q18" s="73"/>
      <c r="R18" s="74">
        <f t="shared" si="6"/>
        <v>4</v>
      </c>
      <c r="S18" s="75">
        <f t="shared" si="7"/>
        <v>0</v>
      </c>
      <c r="T18" s="76">
        <f t="shared" si="8"/>
        <v>0</v>
      </c>
      <c r="U18" s="76">
        <f t="shared" si="9"/>
        <v>0</v>
      </c>
      <c r="V18" s="76">
        <f t="shared" si="10"/>
        <v>0</v>
      </c>
      <c r="W18" s="74">
        <f t="shared" si="11"/>
        <v>0</v>
      </c>
      <c r="X18" s="1">
        <f t="shared" si="12"/>
        <v>0</v>
      </c>
      <c r="Y18" s="1">
        <f t="shared" si="13"/>
        <v>0</v>
      </c>
      <c r="Z18" s="1">
        <f t="shared" si="14"/>
        <v>0</v>
      </c>
      <c r="AA18" s="1">
        <f t="shared" si="15"/>
        <v>0</v>
      </c>
      <c r="AB18" s="1">
        <f t="shared" si="16"/>
        <v>0</v>
      </c>
      <c r="AC18" s="1">
        <f t="shared" si="17"/>
        <v>0</v>
      </c>
      <c r="AD18" s="1">
        <f>IF(D18="",0,VLOOKUP(D18,Lookup!$W$144:$X$165,2,FALSE))</f>
        <v>0</v>
      </c>
      <c r="AE18" s="1">
        <f t="shared" si="18"/>
        <v>0</v>
      </c>
      <c r="AF18" s="1"/>
      <c r="AG18" s="1">
        <f t="shared" si="19"/>
        <v>0</v>
      </c>
      <c r="AH18" s="1" t="str">
        <f t="shared" si="20"/>
        <v>-</v>
      </c>
      <c r="AI18" s="1">
        <f t="shared" si="21"/>
        <v>0</v>
      </c>
      <c r="AJ18" s="1" t="str">
        <f>IF(ISERROR(VLOOKUP(G18,Lookup!$J$93:$M$111,4,FALSE)),"NS",VLOOKUP(G18,Lookup!$J$93:$M$111,4,FALSE))</f>
        <v>NS</v>
      </c>
      <c r="AK18" s="1" t="str">
        <f t="shared" si="22"/>
        <v>NSNSNSNS</v>
      </c>
      <c r="AL18" s="1">
        <f>IF(D18="",0,IF(D18="Portable Def",3,VLOOKUP(AH18,Lookup!$B$3:$F$69,MATCH(F18,Lookup!$B$3:$F$3,0),FALSE)))</f>
        <v>0</v>
      </c>
      <c r="AM18" s="1">
        <f>IF(D18="Naval",0,IF(G18="",0,VLOOKUP(G18,Lookup!$J$93:$L$111,MATCH(AI18,Lookup!$J$93:$L$93,0),FALSE)))</f>
        <v>0</v>
      </c>
      <c r="AN18" s="1">
        <f>IF(H18="",0,VLOOKUP(H18,Lookup!$M$113:$O$128,MATCH(AI18,Lookup!$M$113:$O$113,0),FALSE))</f>
        <v>0</v>
      </c>
      <c r="AO18" s="1">
        <f>(IF(I18="",0,IF(AND(H18="Hvy W",I18="Hvy W"),0,VLOOKUP(I18,Lookup!$P$130:$R$137,MATCH(AI18,Lookup!$M$113:$O$113,0),FALSE))))</f>
        <v>0</v>
      </c>
      <c r="AP18" s="1">
        <f t="shared" si="23"/>
        <v>0</v>
      </c>
      <c r="AQ18" s="1">
        <f t="shared" si="24"/>
        <v>0</v>
      </c>
      <c r="AR18" s="1">
        <f t="shared" si="25"/>
        <v>0</v>
      </c>
      <c r="AS18" s="9">
        <f t="shared" si="26"/>
        <v>0</v>
      </c>
      <c r="AT18" s="1">
        <f t="shared" si="28"/>
        <v>0</v>
      </c>
      <c r="AU18" s="1">
        <f t="shared" si="27"/>
        <v>0</v>
      </c>
      <c r="AV18" s="1"/>
      <c r="AW18" s="1"/>
      <c r="AX18" s="1"/>
      <c r="AY18" s="1"/>
      <c r="AZ18" s="1"/>
      <c r="BA18" s="1"/>
    </row>
    <row r="19" spans="1:53" ht="16.5" customHeight="1" x14ac:dyDescent="0.2">
      <c r="A19" s="82"/>
      <c r="B19" s="77"/>
      <c r="C19" s="78"/>
      <c r="D19" s="78"/>
      <c r="E19" s="78"/>
      <c r="F19" s="78"/>
      <c r="G19" s="78"/>
      <c r="H19" s="78"/>
      <c r="I19" s="78"/>
      <c r="J19" s="79"/>
      <c r="K19" s="78"/>
      <c r="L19" s="69">
        <f t="shared" si="1"/>
        <v>0</v>
      </c>
      <c r="M19" s="70">
        <f t="shared" si="2"/>
        <v>0</v>
      </c>
      <c r="N19" s="70">
        <f t="shared" si="3"/>
        <v>0</v>
      </c>
      <c r="O19" s="71" t="str">
        <f t="shared" si="4"/>
        <v/>
      </c>
      <c r="P19" s="80" t="str">
        <f t="shared" si="5"/>
        <v/>
      </c>
      <c r="Q19" s="73"/>
      <c r="R19" s="74">
        <f t="shared" si="6"/>
        <v>4</v>
      </c>
      <c r="S19" s="75">
        <f t="shared" si="7"/>
        <v>0</v>
      </c>
      <c r="T19" s="76">
        <f t="shared" si="8"/>
        <v>0</v>
      </c>
      <c r="U19" s="76">
        <f t="shared" si="9"/>
        <v>0</v>
      </c>
      <c r="V19" s="76">
        <f t="shared" si="10"/>
        <v>0</v>
      </c>
      <c r="W19" s="74">
        <f t="shared" si="11"/>
        <v>0</v>
      </c>
      <c r="X19" s="1">
        <f t="shared" si="12"/>
        <v>0</v>
      </c>
      <c r="Y19" s="1">
        <f t="shared" si="13"/>
        <v>0</v>
      </c>
      <c r="Z19" s="1">
        <f t="shared" si="14"/>
        <v>0</v>
      </c>
      <c r="AA19" s="1">
        <f t="shared" si="15"/>
        <v>0</v>
      </c>
      <c r="AB19" s="1">
        <f t="shared" si="16"/>
        <v>0</v>
      </c>
      <c r="AC19" s="1">
        <f t="shared" si="17"/>
        <v>0</v>
      </c>
      <c r="AD19" s="1">
        <f>IF(D19="",0,VLOOKUP(D19,Lookup!$W$144:$X$165,2,FALSE))</f>
        <v>0</v>
      </c>
      <c r="AE19" s="1">
        <f t="shared" si="18"/>
        <v>0</v>
      </c>
      <c r="AF19" s="1"/>
      <c r="AG19" s="1">
        <f t="shared" si="19"/>
        <v>0</v>
      </c>
      <c r="AH19" s="1" t="str">
        <f t="shared" si="20"/>
        <v>-</v>
      </c>
      <c r="AI19" s="1">
        <f t="shared" si="21"/>
        <v>0</v>
      </c>
      <c r="AJ19" s="1" t="str">
        <f>IF(ISERROR(VLOOKUP(G19,Lookup!$J$93:$M$111,4,FALSE)),"NS",VLOOKUP(G19,Lookup!$J$93:$M$111,4,FALSE))</f>
        <v>NS</v>
      </c>
      <c r="AK19" s="1" t="str">
        <f t="shared" si="22"/>
        <v>NSNSNSNS</v>
      </c>
      <c r="AL19" s="1">
        <f>IF(D19="",0,IF(D19="Portable Def",3,VLOOKUP(AH19,Lookup!$B$3:$F$69,MATCH(F19,Lookup!$B$3:$F$3,0),FALSE)))</f>
        <v>0</v>
      </c>
      <c r="AM19" s="1">
        <f>IF(D19="Naval",0,IF(G19="",0,VLOOKUP(G19,Lookup!$J$93:$L$111,MATCH(AI19,Lookup!$J$93:$L$93,0),FALSE)))</f>
        <v>0</v>
      </c>
      <c r="AN19" s="1">
        <f>IF(H19="",0,VLOOKUP(H19,Lookup!$M$113:$O$128,MATCH(AI19,Lookup!$M$113:$O$113,0),FALSE))</f>
        <v>0</v>
      </c>
      <c r="AO19" s="1">
        <f>(IF(I19="",0,IF(AND(H19="Hvy W",I19="Hvy W"),0,VLOOKUP(I19,Lookup!$P$130:$R$137,MATCH(AI19,Lookup!$M$113:$O$113,0),FALSE))))</f>
        <v>0</v>
      </c>
      <c r="AP19" s="1">
        <f t="shared" si="23"/>
        <v>0</v>
      </c>
      <c r="AQ19" s="1">
        <f t="shared" si="24"/>
        <v>0</v>
      </c>
      <c r="AR19" s="1">
        <f t="shared" si="25"/>
        <v>0</v>
      </c>
      <c r="AS19" s="9">
        <f t="shared" si="26"/>
        <v>0</v>
      </c>
      <c r="AT19" s="1">
        <f t="shared" si="28"/>
        <v>0</v>
      </c>
      <c r="AU19" s="1">
        <f t="shared" si="27"/>
        <v>0</v>
      </c>
      <c r="AV19" s="1"/>
      <c r="AW19" s="1"/>
      <c r="AX19" s="1"/>
      <c r="AY19" s="1"/>
      <c r="AZ19" s="1"/>
      <c r="BA19" s="1"/>
    </row>
    <row r="20" spans="1:53" ht="16.5" customHeight="1" x14ac:dyDescent="0.2">
      <c r="A20" s="82"/>
      <c r="B20" s="77"/>
      <c r="C20" s="78"/>
      <c r="D20" s="78"/>
      <c r="E20" s="78"/>
      <c r="F20" s="78"/>
      <c r="G20" s="78"/>
      <c r="H20" s="78"/>
      <c r="I20" s="78"/>
      <c r="J20" s="79"/>
      <c r="K20" s="78"/>
      <c r="L20" s="69">
        <f t="shared" si="1"/>
        <v>0</v>
      </c>
      <c r="M20" s="70">
        <f t="shared" si="2"/>
        <v>0</v>
      </c>
      <c r="N20" s="70">
        <f t="shared" si="3"/>
        <v>0</v>
      </c>
      <c r="O20" s="71" t="str">
        <f t="shared" si="4"/>
        <v/>
      </c>
      <c r="P20" s="80" t="str">
        <f t="shared" si="5"/>
        <v/>
      </c>
      <c r="Q20" s="73"/>
      <c r="R20" s="74">
        <f t="shared" si="6"/>
        <v>4</v>
      </c>
      <c r="S20" s="75">
        <f t="shared" si="7"/>
        <v>0</v>
      </c>
      <c r="T20" s="76">
        <f t="shared" si="8"/>
        <v>0</v>
      </c>
      <c r="U20" s="76">
        <f t="shared" si="9"/>
        <v>0</v>
      </c>
      <c r="V20" s="76">
        <f t="shared" si="10"/>
        <v>0</v>
      </c>
      <c r="W20" s="74">
        <f t="shared" si="11"/>
        <v>0</v>
      </c>
      <c r="X20" s="1">
        <f t="shared" si="12"/>
        <v>0</v>
      </c>
      <c r="Y20" s="1">
        <f t="shared" si="13"/>
        <v>0</v>
      </c>
      <c r="Z20" s="1">
        <f t="shared" si="14"/>
        <v>0</v>
      </c>
      <c r="AA20" s="1">
        <f t="shared" si="15"/>
        <v>0</v>
      </c>
      <c r="AB20" s="1">
        <f t="shared" si="16"/>
        <v>0</v>
      </c>
      <c r="AC20" s="1">
        <f t="shared" si="17"/>
        <v>0</v>
      </c>
      <c r="AD20" s="1">
        <f>IF(D20="",0,VLOOKUP(D20,Lookup!$W$144:$X$165,2,FALSE))</f>
        <v>0</v>
      </c>
      <c r="AE20" s="1">
        <f t="shared" si="18"/>
        <v>0</v>
      </c>
      <c r="AF20" s="1"/>
      <c r="AG20" s="1">
        <f t="shared" si="19"/>
        <v>0</v>
      </c>
      <c r="AH20" s="1" t="str">
        <f t="shared" si="20"/>
        <v>-</v>
      </c>
      <c r="AI20" s="1">
        <f t="shared" si="21"/>
        <v>0</v>
      </c>
      <c r="AJ20" s="1" t="str">
        <f>IF(ISERROR(VLOOKUP(G20,Lookup!$J$93:$M$111,4,FALSE)),"NS",VLOOKUP(G20,Lookup!$J$93:$M$111,4,FALSE))</f>
        <v>NS</v>
      </c>
      <c r="AK20" s="1" t="str">
        <f t="shared" si="22"/>
        <v>NSNSNSNS</v>
      </c>
      <c r="AL20" s="1">
        <f>IF(D20="",0,IF(D20="Portable Def",3,VLOOKUP(AH20,Lookup!$B$3:$F$69,MATCH(F20,Lookup!$B$3:$F$3,0),FALSE)))</f>
        <v>0</v>
      </c>
      <c r="AM20" s="1">
        <f>IF(D20="Naval",0,IF(G20="",0,VLOOKUP(G20,Lookup!$J$93:$L$111,MATCH(AI20,Lookup!$J$93:$L$93,0),FALSE)))</f>
        <v>0</v>
      </c>
      <c r="AN20" s="1">
        <f>IF(H20="",0,VLOOKUP(H20,Lookup!$M$113:$O$128,MATCH(AI20,Lookup!$M$113:$O$113,0),FALSE))</f>
        <v>0</v>
      </c>
      <c r="AO20" s="1">
        <f>(IF(I20="",0,IF(AND(H20="Hvy W",I20="Hvy W"),0,VLOOKUP(I20,Lookup!$P$130:$R$137,MATCH(AI20,Lookup!$M$113:$O$113,0),FALSE))))</f>
        <v>0</v>
      </c>
      <c r="AP20" s="1">
        <f t="shared" si="23"/>
        <v>0</v>
      </c>
      <c r="AQ20" s="1">
        <f t="shared" si="24"/>
        <v>0</v>
      </c>
      <c r="AR20" s="1">
        <f t="shared" si="25"/>
        <v>0</v>
      </c>
      <c r="AS20" s="9">
        <f t="shared" si="26"/>
        <v>0</v>
      </c>
      <c r="AT20" s="1">
        <f t="shared" si="28"/>
        <v>0</v>
      </c>
      <c r="AU20" s="1">
        <f t="shared" si="27"/>
        <v>0</v>
      </c>
      <c r="AV20" s="1"/>
      <c r="AW20" s="1"/>
      <c r="AX20" s="1"/>
      <c r="AY20" s="1"/>
      <c r="AZ20" s="1"/>
      <c r="BA20" s="1"/>
    </row>
    <row r="21" spans="1:53" ht="16.5" customHeight="1" x14ac:dyDescent="0.2">
      <c r="A21" s="82"/>
      <c r="B21" s="77"/>
      <c r="C21" s="78"/>
      <c r="D21" s="78"/>
      <c r="E21" s="78"/>
      <c r="F21" s="78"/>
      <c r="G21" s="78"/>
      <c r="H21" s="78"/>
      <c r="I21" s="78"/>
      <c r="J21" s="79"/>
      <c r="K21" s="78"/>
      <c r="L21" s="69">
        <f t="shared" si="1"/>
        <v>0</v>
      </c>
      <c r="M21" s="70">
        <f t="shared" si="2"/>
        <v>0</v>
      </c>
      <c r="N21" s="70">
        <f t="shared" si="3"/>
        <v>0</v>
      </c>
      <c r="O21" s="71" t="str">
        <f t="shared" si="4"/>
        <v/>
      </c>
      <c r="P21" s="80" t="str">
        <f t="shared" si="5"/>
        <v/>
      </c>
      <c r="Q21" s="73"/>
      <c r="R21" s="74">
        <f t="shared" si="6"/>
        <v>4</v>
      </c>
      <c r="S21" s="75">
        <f t="shared" si="7"/>
        <v>0</v>
      </c>
      <c r="T21" s="76">
        <f t="shared" si="8"/>
        <v>0</v>
      </c>
      <c r="U21" s="76">
        <f t="shared" si="9"/>
        <v>0</v>
      </c>
      <c r="V21" s="76">
        <f t="shared" si="10"/>
        <v>0</v>
      </c>
      <c r="W21" s="74">
        <f t="shared" si="11"/>
        <v>0</v>
      </c>
      <c r="X21" s="1">
        <f t="shared" si="12"/>
        <v>0</v>
      </c>
      <c r="Y21" s="1">
        <f t="shared" si="13"/>
        <v>0</v>
      </c>
      <c r="Z21" s="1">
        <f t="shared" si="14"/>
        <v>0</v>
      </c>
      <c r="AA21" s="1">
        <f t="shared" si="15"/>
        <v>0</v>
      </c>
      <c r="AB21" s="1">
        <f t="shared" si="16"/>
        <v>0</v>
      </c>
      <c r="AC21" s="1">
        <f t="shared" si="17"/>
        <v>0</v>
      </c>
      <c r="AD21" s="1">
        <f>IF(D21="",0,VLOOKUP(D21,Lookup!$W$144:$X$165,2,FALSE))</f>
        <v>0</v>
      </c>
      <c r="AE21" s="1">
        <f t="shared" si="18"/>
        <v>0</v>
      </c>
      <c r="AF21" s="1"/>
      <c r="AG21" s="1">
        <f t="shared" si="19"/>
        <v>0</v>
      </c>
      <c r="AH21" s="1" t="str">
        <f t="shared" si="20"/>
        <v>-</v>
      </c>
      <c r="AI21" s="1">
        <f t="shared" si="21"/>
        <v>0</v>
      </c>
      <c r="AJ21" s="1" t="str">
        <f>IF(ISERROR(VLOOKUP(G21,Lookup!$J$93:$M$111,4,FALSE)),"NS",VLOOKUP(G21,Lookup!$J$93:$M$111,4,FALSE))</f>
        <v>NS</v>
      </c>
      <c r="AK21" s="1" t="str">
        <f t="shared" si="22"/>
        <v>NSNSNSNS</v>
      </c>
      <c r="AL21" s="1">
        <f>IF(D21="",0,IF(D21="Portable Def",3,VLOOKUP(AH21,Lookup!$B$3:$F$69,MATCH(F21,Lookup!$B$3:$F$3,0),FALSE)))</f>
        <v>0</v>
      </c>
      <c r="AM21" s="1">
        <f>IF(D21="Naval",0,IF(G21="",0,VLOOKUP(G21,Lookup!$J$93:$L$111,MATCH(AI21,Lookup!$J$93:$L$93,0),FALSE)))</f>
        <v>0</v>
      </c>
      <c r="AN21" s="1">
        <f>IF(H21="",0,VLOOKUP(H21,Lookup!$M$113:$O$128,MATCH(AI21,Lookup!$M$113:$O$113,0),FALSE))</f>
        <v>0</v>
      </c>
      <c r="AO21" s="1">
        <f>(IF(I21="",0,IF(AND(H21="Hvy W",I21="Hvy W"),0,VLOOKUP(I21,Lookup!$P$130:$R$137,MATCH(AI21,Lookup!$M$113:$O$113,0),FALSE))))</f>
        <v>0</v>
      </c>
      <c r="AP21" s="1">
        <f t="shared" si="23"/>
        <v>0</v>
      </c>
      <c r="AQ21" s="1">
        <f t="shared" si="24"/>
        <v>0</v>
      </c>
      <c r="AR21" s="1">
        <f t="shared" si="25"/>
        <v>0</v>
      </c>
      <c r="AS21" s="9">
        <f t="shared" si="26"/>
        <v>0</v>
      </c>
      <c r="AT21" s="1">
        <f t="shared" si="28"/>
        <v>0</v>
      </c>
      <c r="AU21" s="1">
        <f t="shared" si="27"/>
        <v>0</v>
      </c>
      <c r="AV21" s="1"/>
      <c r="AW21" s="1"/>
      <c r="AX21" s="1"/>
      <c r="AY21" s="1"/>
      <c r="AZ21" s="1"/>
      <c r="BA21" s="1"/>
    </row>
    <row r="22" spans="1:53" ht="16.5" customHeight="1" x14ac:dyDescent="0.2">
      <c r="A22" s="82"/>
      <c r="B22" s="77"/>
      <c r="C22" s="78"/>
      <c r="D22" s="78"/>
      <c r="E22" s="78"/>
      <c r="F22" s="78"/>
      <c r="G22" s="78"/>
      <c r="H22" s="78"/>
      <c r="I22" s="78"/>
      <c r="J22" s="79"/>
      <c r="K22" s="78"/>
      <c r="L22" s="69">
        <f t="shared" si="1"/>
        <v>0</v>
      </c>
      <c r="M22" s="70">
        <f t="shared" si="2"/>
        <v>0</v>
      </c>
      <c r="N22" s="70">
        <f t="shared" si="3"/>
        <v>0</v>
      </c>
      <c r="O22" s="71" t="str">
        <f t="shared" si="4"/>
        <v/>
      </c>
      <c r="P22" s="80" t="str">
        <f t="shared" si="5"/>
        <v/>
      </c>
      <c r="Q22" s="73"/>
      <c r="R22" s="74">
        <f t="shared" si="6"/>
        <v>4</v>
      </c>
      <c r="S22" s="75">
        <f t="shared" si="7"/>
        <v>0</v>
      </c>
      <c r="T22" s="76">
        <f t="shared" si="8"/>
        <v>0</v>
      </c>
      <c r="U22" s="76">
        <f t="shared" si="9"/>
        <v>0</v>
      </c>
      <c r="V22" s="76">
        <f t="shared" si="10"/>
        <v>0</v>
      </c>
      <c r="W22" s="74">
        <f t="shared" si="11"/>
        <v>0</v>
      </c>
      <c r="X22" s="1">
        <f t="shared" si="12"/>
        <v>0</v>
      </c>
      <c r="Y22" s="1">
        <f t="shared" si="13"/>
        <v>0</v>
      </c>
      <c r="Z22" s="1">
        <f t="shared" si="14"/>
        <v>0</v>
      </c>
      <c r="AA22" s="1">
        <f t="shared" si="15"/>
        <v>0</v>
      </c>
      <c r="AB22" s="1">
        <f t="shared" si="16"/>
        <v>0</v>
      </c>
      <c r="AC22" s="1">
        <f t="shared" si="17"/>
        <v>0</v>
      </c>
      <c r="AD22" s="1">
        <f>IF(D22="",0,VLOOKUP(D22,Lookup!$W$144:$X$165,2,FALSE))</f>
        <v>0</v>
      </c>
      <c r="AE22" s="1">
        <f t="shared" si="18"/>
        <v>0</v>
      </c>
      <c r="AF22" s="1"/>
      <c r="AG22" s="1">
        <f t="shared" si="19"/>
        <v>0</v>
      </c>
      <c r="AH22" s="1" t="str">
        <f t="shared" si="20"/>
        <v>-</v>
      </c>
      <c r="AI22" s="1">
        <f t="shared" si="21"/>
        <v>0</v>
      </c>
      <c r="AJ22" s="1" t="str">
        <f>IF(ISERROR(VLOOKUP(G22,Lookup!$J$93:$M$111,4,FALSE)),"NS",VLOOKUP(G22,Lookup!$J$93:$M$111,4,FALSE))</f>
        <v>NS</v>
      </c>
      <c r="AK22" s="1" t="str">
        <f t="shared" si="22"/>
        <v>NSNSNSNS</v>
      </c>
      <c r="AL22" s="1">
        <f>IF(D22="",0,IF(D22="Portable Def",3,VLOOKUP(AH22,Lookup!$B$3:$F$69,MATCH(F22,Lookup!$B$3:$F$3,0),FALSE)))</f>
        <v>0</v>
      </c>
      <c r="AM22" s="1">
        <f>IF(D22="Naval",0,IF(G22="",0,VLOOKUP(G22,Lookup!$J$93:$L$111,MATCH(AI22,Lookup!$J$93:$L$93,0),FALSE)))</f>
        <v>0</v>
      </c>
      <c r="AN22" s="1">
        <f>IF(H22="",0,VLOOKUP(H22,Lookup!$M$113:$O$128,MATCH(AI22,Lookup!$M$113:$O$113,0),FALSE))</f>
        <v>0</v>
      </c>
      <c r="AO22" s="1">
        <f>(IF(I22="",0,IF(AND(H22="Hvy W",I22="Hvy W"),0,VLOOKUP(I22,Lookup!$P$130:$R$137,MATCH(AI22,Lookup!$M$113:$O$113,0),FALSE))))</f>
        <v>0</v>
      </c>
      <c r="AP22" s="1">
        <f t="shared" si="23"/>
        <v>0</v>
      </c>
      <c r="AQ22" s="1">
        <f t="shared" si="24"/>
        <v>0</v>
      </c>
      <c r="AR22" s="1">
        <f t="shared" si="25"/>
        <v>0</v>
      </c>
      <c r="AS22" s="9">
        <f t="shared" si="26"/>
        <v>0</v>
      </c>
      <c r="AT22" s="1">
        <f t="shared" si="28"/>
        <v>0</v>
      </c>
      <c r="AU22" s="1">
        <f t="shared" si="27"/>
        <v>0</v>
      </c>
      <c r="AV22" s="1"/>
      <c r="AW22" s="1"/>
      <c r="AX22" s="1"/>
      <c r="AY22" s="1"/>
      <c r="AZ22" s="1"/>
      <c r="BA22" s="1"/>
    </row>
    <row r="23" spans="1:53" ht="16.5" customHeight="1" x14ac:dyDescent="0.2">
      <c r="A23" s="82"/>
      <c r="B23" s="77"/>
      <c r="C23" s="78"/>
      <c r="D23" s="78"/>
      <c r="E23" s="78"/>
      <c r="F23" s="78"/>
      <c r="G23" s="78"/>
      <c r="H23" s="78"/>
      <c r="I23" s="78"/>
      <c r="J23" s="79"/>
      <c r="K23" s="78"/>
      <c r="L23" s="69">
        <f t="shared" si="1"/>
        <v>0</v>
      </c>
      <c r="M23" s="70">
        <f t="shared" si="2"/>
        <v>0</v>
      </c>
      <c r="N23" s="70">
        <f t="shared" si="3"/>
        <v>0</v>
      </c>
      <c r="O23" s="71" t="str">
        <f t="shared" si="4"/>
        <v/>
      </c>
      <c r="P23" s="80" t="str">
        <f t="shared" si="5"/>
        <v/>
      </c>
      <c r="Q23" s="73"/>
      <c r="R23" s="74">
        <f t="shared" si="6"/>
        <v>4</v>
      </c>
      <c r="S23" s="75">
        <f t="shared" si="7"/>
        <v>0</v>
      </c>
      <c r="T23" s="76">
        <f t="shared" si="8"/>
        <v>0</v>
      </c>
      <c r="U23" s="76">
        <f t="shared" si="9"/>
        <v>0</v>
      </c>
      <c r="V23" s="76">
        <f t="shared" si="10"/>
        <v>0</v>
      </c>
      <c r="W23" s="74">
        <f t="shared" si="11"/>
        <v>0</v>
      </c>
      <c r="X23" s="1">
        <f t="shared" si="12"/>
        <v>0</v>
      </c>
      <c r="Y23" s="1">
        <f t="shared" si="13"/>
        <v>0</v>
      </c>
      <c r="Z23" s="1">
        <f t="shared" si="14"/>
        <v>0</v>
      </c>
      <c r="AA23" s="1">
        <f t="shared" si="15"/>
        <v>0</v>
      </c>
      <c r="AB23" s="1">
        <f t="shared" si="16"/>
        <v>0</v>
      </c>
      <c r="AC23" s="1">
        <f t="shared" si="17"/>
        <v>0</v>
      </c>
      <c r="AD23" s="1">
        <f>IF(D23="",0,VLOOKUP(D23,Lookup!$W$144:$X$165,2,FALSE))</f>
        <v>0</v>
      </c>
      <c r="AE23" s="1">
        <f t="shared" si="18"/>
        <v>0</v>
      </c>
      <c r="AF23" s="1"/>
      <c r="AG23" s="1">
        <f t="shared" si="19"/>
        <v>0</v>
      </c>
      <c r="AH23" s="1" t="str">
        <f t="shared" si="20"/>
        <v>-</v>
      </c>
      <c r="AI23" s="1">
        <f t="shared" si="21"/>
        <v>0</v>
      </c>
      <c r="AJ23" s="1" t="str">
        <f>IF(ISERROR(VLOOKUP(G23,Lookup!$J$93:$M$111,4,FALSE)),"NS",VLOOKUP(G23,Lookup!$J$93:$M$111,4,FALSE))</f>
        <v>NS</v>
      </c>
      <c r="AK23" s="1" t="str">
        <f t="shared" si="22"/>
        <v>NSNSNSNS</v>
      </c>
      <c r="AL23" s="1">
        <f>IF(D23="",0,IF(D23="Portable Def",3,VLOOKUP(AH23,Lookup!$B$3:$F$69,MATCH(F23,Lookup!$B$3:$F$3,0),FALSE)))</f>
        <v>0</v>
      </c>
      <c r="AM23" s="1">
        <f>IF(D23="Naval",0,IF(G23="",0,VLOOKUP(G23,Lookup!$J$93:$L$111,MATCH(AI23,Lookup!$J$93:$L$93,0),FALSE)))</f>
        <v>0</v>
      </c>
      <c r="AN23" s="1">
        <f>IF(H23="",0,VLOOKUP(H23,Lookup!$M$113:$O$128,MATCH(AI23,Lookup!$M$113:$O$113,0),FALSE))</f>
        <v>0</v>
      </c>
      <c r="AO23" s="1">
        <f>(IF(I23="",0,IF(AND(H23="Hvy W",I23="Hvy W"),0,VLOOKUP(I23,Lookup!$P$130:$R$137,MATCH(AI23,Lookup!$M$113:$O$113,0),FALSE))))</f>
        <v>0</v>
      </c>
      <c r="AP23" s="1">
        <f t="shared" si="23"/>
        <v>0</v>
      </c>
      <c r="AQ23" s="1">
        <f t="shared" si="24"/>
        <v>0</v>
      </c>
      <c r="AR23" s="1">
        <f t="shared" si="25"/>
        <v>0</v>
      </c>
      <c r="AS23" s="9">
        <f t="shared" si="26"/>
        <v>0</v>
      </c>
      <c r="AT23" s="1">
        <f t="shared" si="28"/>
        <v>0</v>
      </c>
      <c r="AU23" s="1">
        <f t="shared" si="27"/>
        <v>0</v>
      </c>
      <c r="AV23" s="1"/>
      <c r="AW23" s="1"/>
      <c r="AX23" s="1"/>
      <c r="AY23" s="1"/>
      <c r="AZ23" s="1"/>
      <c r="BA23" s="1"/>
    </row>
    <row r="24" spans="1:53" ht="16.5" customHeight="1" x14ac:dyDescent="0.2">
      <c r="A24" s="82"/>
      <c r="B24" s="77"/>
      <c r="C24" s="78"/>
      <c r="D24" s="78"/>
      <c r="E24" s="78"/>
      <c r="F24" s="78"/>
      <c r="G24" s="78"/>
      <c r="H24" s="78"/>
      <c r="I24" s="78"/>
      <c r="J24" s="79"/>
      <c r="K24" s="78"/>
      <c r="L24" s="69">
        <f t="shared" si="1"/>
        <v>0</v>
      </c>
      <c r="M24" s="70">
        <f t="shared" si="2"/>
        <v>0</v>
      </c>
      <c r="N24" s="70">
        <f t="shared" si="3"/>
        <v>0</v>
      </c>
      <c r="O24" s="71" t="str">
        <f t="shared" si="4"/>
        <v/>
      </c>
      <c r="P24" s="80" t="str">
        <f t="shared" si="5"/>
        <v/>
      </c>
      <c r="Q24" s="73"/>
      <c r="R24" s="74">
        <f t="shared" si="6"/>
        <v>4</v>
      </c>
      <c r="S24" s="75">
        <f t="shared" si="7"/>
        <v>0</v>
      </c>
      <c r="T24" s="76">
        <f t="shared" si="8"/>
        <v>0</v>
      </c>
      <c r="U24" s="76">
        <f t="shared" si="9"/>
        <v>0</v>
      </c>
      <c r="V24" s="76">
        <f t="shared" si="10"/>
        <v>0</v>
      </c>
      <c r="W24" s="74">
        <f t="shared" si="11"/>
        <v>0</v>
      </c>
      <c r="X24" s="1">
        <f t="shared" si="12"/>
        <v>0</v>
      </c>
      <c r="Y24" s="1">
        <f t="shared" si="13"/>
        <v>0</v>
      </c>
      <c r="Z24" s="1">
        <f t="shared" si="14"/>
        <v>0</v>
      </c>
      <c r="AA24" s="1">
        <f t="shared" si="15"/>
        <v>0</v>
      </c>
      <c r="AB24" s="1">
        <f t="shared" si="16"/>
        <v>0</v>
      </c>
      <c r="AC24" s="1">
        <f t="shared" si="17"/>
        <v>0</v>
      </c>
      <c r="AD24" s="1">
        <f>IF(D24="",0,VLOOKUP(D24,Lookup!$W$144:$X$165,2,FALSE))</f>
        <v>0</v>
      </c>
      <c r="AE24" s="1">
        <f t="shared" si="18"/>
        <v>0</v>
      </c>
      <c r="AF24" s="1"/>
      <c r="AG24" s="1">
        <f t="shared" si="19"/>
        <v>0</v>
      </c>
      <c r="AH24" s="1" t="str">
        <f t="shared" si="20"/>
        <v>-</v>
      </c>
      <c r="AI24" s="1">
        <f t="shared" si="21"/>
        <v>0</v>
      </c>
      <c r="AJ24" s="1" t="str">
        <f>IF(ISERROR(VLOOKUP(G24,Lookup!$J$93:$M$111,4,FALSE)),"NS",VLOOKUP(G24,Lookup!$J$93:$M$111,4,FALSE))</f>
        <v>NS</v>
      </c>
      <c r="AK24" s="1" t="str">
        <f t="shared" si="22"/>
        <v>NSNSNSNS</v>
      </c>
      <c r="AL24" s="1">
        <f>IF(D24="",0,IF(D24="Portable Def",3,VLOOKUP(AH24,Lookup!$B$3:$F$69,MATCH(F24,Lookup!$B$3:$F$3,0),FALSE)))</f>
        <v>0</v>
      </c>
      <c r="AM24" s="1">
        <f>IF(D24="Naval",0,IF(G24="",0,VLOOKUP(G24,Lookup!$J$93:$L$111,MATCH(AI24,Lookup!$J$93:$L$93,0),FALSE)))</f>
        <v>0</v>
      </c>
      <c r="AN24" s="1">
        <f>IF(H24="",0,VLOOKUP(H24,Lookup!$M$113:$O$128,MATCH(AI24,Lookup!$M$113:$O$113,0),FALSE))</f>
        <v>0</v>
      </c>
      <c r="AO24" s="1">
        <f>(IF(I24="",0,IF(AND(H24="Hvy W",I24="Hvy W"),0,VLOOKUP(I24,Lookup!$P$130:$R$137,MATCH(AI24,Lookup!$M$113:$O$113,0),FALSE))))</f>
        <v>0</v>
      </c>
      <c r="AP24" s="1">
        <f t="shared" si="23"/>
        <v>0</v>
      </c>
      <c r="AQ24" s="1">
        <f t="shared" si="24"/>
        <v>0</v>
      </c>
      <c r="AR24" s="1">
        <f t="shared" si="25"/>
        <v>0</v>
      </c>
      <c r="AS24" s="9">
        <f t="shared" si="26"/>
        <v>0</v>
      </c>
      <c r="AT24" s="1">
        <f t="shared" si="28"/>
        <v>0</v>
      </c>
      <c r="AU24" s="1">
        <f t="shared" si="27"/>
        <v>0</v>
      </c>
      <c r="AV24" s="1"/>
      <c r="AW24" s="1"/>
      <c r="AX24" s="1"/>
      <c r="AY24" s="1"/>
      <c r="AZ24" s="1"/>
      <c r="BA24" s="1"/>
    </row>
    <row r="25" spans="1:53" ht="16.5" customHeight="1" x14ac:dyDescent="0.2">
      <c r="A25" s="82"/>
      <c r="B25" s="77"/>
      <c r="C25" s="78"/>
      <c r="D25" s="78"/>
      <c r="E25" s="78"/>
      <c r="F25" s="78"/>
      <c r="G25" s="78"/>
      <c r="H25" s="78"/>
      <c r="I25" s="78"/>
      <c r="J25" s="79"/>
      <c r="K25" s="78"/>
      <c r="L25" s="69">
        <f t="shared" si="1"/>
        <v>0</v>
      </c>
      <c r="M25" s="70">
        <f t="shared" si="2"/>
        <v>0</v>
      </c>
      <c r="N25" s="70">
        <f t="shared" si="3"/>
        <v>0</v>
      </c>
      <c r="O25" s="71" t="str">
        <f t="shared" si="4"/>
        <v/>
      </c>
      <c r="P25" s="80" t="str">
        <f t="shared" si="5"/>
        <v/>
      </c>
      <c r="Q25" s="73"/>
      <c r="R25" s="74">
        <f t="shared" si="6"/>
        <v>4</v>
      </c>
      <c r="S25" s="75">
        <f t="shared" si="7"/>
        <v>0</v>
      </c>
      <c r="T25" s="76">
        <f t="shared" si="8"/>
        <v>0</v>
      </c>
      <c r="U25" s="76">
        <f t="shared" si="9"/>
        <v>0</v>
      </c>
      <c r="V25" s="76">
        <f t="shared" si="10"/>
        <v>0</v>
      </c>
      <c r="W25" s="74">
        <f t="shared" si="11"/>
        <v>0</v>
      </c>
      <c r="X25" s="1">
        <f t="shared" si="12"/>
        <v>0</v>
      </c>
      <c r="Y25" s="1">
        <f t="shared" si="13"/>
        <v>0</v>
      </c>
      <c r="Z25" s="1">
        <f t="shared" si="14"/>
        <v>0</v>
      </c>
      <c r="AA25" s="1">
        <f t="shared" si="15"/>
        <v>0</v>
      </c>
      <c r="AB25" s="1">
        <f t="shared" si="16"/>
        <v>0</v>
      </c>
      <c r="AC25" s="1">
        <f t="shared" si="17"/>
        <v>0</v>
      </c>
      <c r="AD25" s="1">
        <f>IF(D25="",0,VLOOKUP(D25,Lookup!$W$144:$X$165,2,FALSE))</f>
        <v>0</v>
      </c>
      <c r="AE25" s="1">
        <f t="shared" si="18"/>
        <v>0</v>
      </c>
      <c r="AF25" s="1"/>
      <c r="AG25" s="1">
        <f t="shared" si="19"/>
        <v>0</v>
      </c>
      <c r="AH25" s="1" t="str">
        <f t="shared" si="20"/>
        <v>-</v>
      </c>
      <c r="AI25" s="1">
        <f t="shared" si="21"/>
        <v>0</v>
      </c>
      <c r="AJ25" s="1" t="str">
        <f>IF(ISERROR(VLOOKUP(G25,Lookup!$J$93:$M$111,4,FALSE)),"NS",VLOOKUP(G25,Lookup!$J$93:$M$111,4,FALSE))</f>
        <v>NS</v>
      </c>
      <c r="AK25" s="1" t="str">
        <f t="shared" si="22"/>
        <v>NSNSNSNS</v>
      </c>
      <c r="AL25" s="1">
        <f>IF(D25="",0,IF(D25="Portable Def",3,VLOOKUP(AH25,Lookup!$B$3:$F$69,MATCH(F25,Lookup!$B$3:$F$3,0),FALSE)))</f>
        <v>0</v>
      </c>
      <c r="AM25" s="1">
        <f>IF(D25="Naval",0,IF(G25="",0,VLOOKUP(G25,Lookup!$J$93:$L$111,MATCH(AI25,Lookup!$J$93:$L$93,0),FALSE)))</f>
        <v>0</v>
      </c>
      <c r="AN25" s="1">
        <f>IF(H25="",0,VLOOKUP(H25,Lookup!$M$113:$O$128,MATCH(AI25,Lookup!$M$113:$O$113,0),FALSE))</f>
        <v>0</v>
      </c>
      <c r="AO25" s="1">
        <f>(IF(I25="",0,IF(AND(H25="Hvy W",I25="Hvy W"),0,VLOOKUP(I25,Lookup!$P$130:$R$137,MATCH(AI25,Lookup!$M$113:$O$113,0),FALSE))))</f>
        <v>0</v>
      </c>
      <c r="AP25" s="1">
        <f t="shared" si="23"/>
        <v>0</v>
      </c>
      <c r="AQ25" s="1">
        <f t="shared" si="24"/>
        <v>0</v>
      </c>
      <c r="AR25" s="1">
        <f t="shared" si="25"/>
        <v>0</v>
      </c>
      <c r="AS25" s="9">
        <f t="shared" si="26"/>
        <v>0</v>
      </c>
      <c r="AT25" s="1">
        <f t="shared" si="28"/>
        <v>0</v>
      </c>
      <c r="AU25" s="1">
        <f t="shared" si="27"/>
        <v>0</v>
      </c>
      <c r="AV25" s="1"/>
      <c r="AW25" s="1"/>
      <c r="AX25" s="1"/>
      <c r="AY25" s="1"/>
      <c r="AZ25" s="1"/>
      <c r="BA25" s="1"/>
    </row>
    <row r="26" spans="1:53" ht="16.5" customHeight="1" x14ac:dyDescent="0.2">
      <c r="A26" s="82"/>
      <c r="B26" s="77"/>
      <c r="C26" s="78"/>
      <c r="D26" s="78"/>
      <c r="E26" s="78"/>
      <c r="F26" s="78"/>
      <c r="G26" s="78"/>
      <c r="H26" s="78"/>
      <c r="I26" s="78"/>
      <c r="J26" s="79"/>
      <c r="K26" s="78"/>
      <c r="L26" s="69">
        <f t="shared" si="1"/>
        <v>0</v>
      </c>
      <c r="M26" s="70">
        <f t="shared" si="2"/>
        <v>0</v>
      </c>
      <c r="N26" s="70">
        <f t="shared" si="3"/>
        <v>0</v>
      </c>
      <c r="O26" s="71" t="str">
        <f t="shared" si="4"/>
        <v/>
      </c>
      <c r="P26" s="80" t="str">
        <f t="shared" si="5"/>
        <v/>
      </c>
      <c r="Q26" s="73"/>
      <c r="R26" s="74">
        <f t="shared" si="6"/>
        <v>4</v>
      </c>
      <c r="S26" s="75">
        <f t="shared" si="7"/>
        <v>0</v>
      </c>
      <c r="T26" s="76">
        <f t="shared" si="8"/>
        <v>0</v>
      </c>
      <c r="U26" s="76">
        <f t="shared" si="9"/>
        <v>0</v>
      </c>
      <c r="V26" s="76">
        <f t="shared" si="10"/>
        <v>0</v>
      </c>
      <c r="W26" s="74">
        <f t="shared" si="11"/>
        <v>0</v>
      </c>
      <c r="X26" s="1">
        <f t="shared" si="12"/>
        <v>0</v>
      </c>
      <c r="Y26" s="1">
        <f t="shared" si="13"/>
        <v>0</v>
      </c>
      <c r="Z26" s="1">
        <f t="shared" si="14"/>
        <v>0</v>
      </c>
      <c r="AA26" s="1">
        <f t="shared" si="15"/>
        <v>0</v>
      </c>
      <c r="AB26" s="1">
        <f t="shared" si="16"/>
        <v>0</v>
      </c>
      <c r="AC26" s="1">
        <f t="shared" si="17"/>
        <v>0</v>
      </c>
      <c r="AD26" s="1">
        <f>IF(D26="",0,VLOOKUP(D26,Lookup!$W$144:$X$165,2,FALSE))</f>
        <v>0</v>
      </c>
      <c r="AE26" s="1">
        <f t="shared" si="18"/>
        <v>0</v>
      </c>
      <c r="AF26" s="1"/>
      <c r="AG26" s="1">
        <f t="shared" si="19"/>
        <v>0</v>
      </c>
      <c r="AH26" s="1" t="str">
        <f t="shared" si="20"/>
        <v>-</v>
      </c>
      <c r="AI26" s="1">
        <f t="shared" si="21"/>
        <v>0</v>
      </c>
      <c r="AJ26" s="1" t="str">
        <f>IF(ISERROR(VLOOKUP(G26,Lookup!$J$93:$M$111,4,FALSE)),"NS",VLOOKUP(G26,Lookup!$J$93:$M$111,4,FALSE))</f>
        <v>NS</v>
      </c>
      <c r="AK26" s="1" t="str">
        <f t="shared" si="22"/>
        <v>NSNSNSNS</v>
      </c>
      <c r="AL26" s="1">
        <f>IF(D26="",0,IF(D26="Portable Def",3,VLOOKUP(AH26,Lookup!$B$3:$F$69,MATCH(F26,Lookup!$B$3:$F$3,0),FALSE)))</f>
        <v>0</v>
      </c>
      <c r="AM26" s="1">
        <f>IF(D26="Naval",0,IF(G26="",0,VLOOKUP(G26,Lookup!$J$93:$L$111,MATCH(AI26,Lookup!$J$93:$L$93,0),FALSE)))</f>
        <v>0</v>
      </c>
      <c r="AN26" s="1">
        <f>IF(H26="",0,VLOOKUP(H26,Lookup!$M$113:$O$128,MATCH(AI26,Lookup!$M$113:$O$113,0),FALSE))</f>
        <v>0</v>
      </c>
      <c r="AO26" s="1">
        <f>(IF(I26="",0,IF(AND(H26="Hvy W",I26="Hvy W"),0,VLOOKUP(I26,Lookup!$P$130:$R$137,MATCH(AI26,Lookup!$M$113:$O$113,0),FALSE))))</f>
        <v>0</v>
      </c>
      <c r="AP26" s="1">
        <f t="shared" si="23"/>
        <v>0</v>
      </c>
      <c r="AQ26" s="1">
        <f t="shared" si="24"/>
        <v>0</v>
      </c>
      <c r="AR26" s="1">
        <f t="shared" si="25"/>
        <v>0</v>
      </c>
      <c r="AS26" s="9">
        <f t="shared" si="26"/>
        <v>0</v>
      </c>
      <c r="AT26" s="1">
        <f t="shared" si="28"/>
        <v>0</v>
      </c>
      <c r="AU26" s="1">
        <f t="shared" si="27"/>
        <v>0</v>
      </c>
      <c r="AV26" s="1"/>
      <c r="AW26" s="1"/>
      <c r="AX26" s="1"/>
      <c r="AY26" s="1"/>
      <c r="AZ26" s="1"/>
      <c r="BA26" s="1"/>
    </row>
    <row r="27" spans="1:53" ht="16.5" customHeight="1" x14ac:dyDescent="0.2">
      <c r="A27" s="82"/>
      <c r="B27" s="77"/>
      <c r="C27" s="78"/>
      <c r="D27" s="78"/>
      <c r="E27" s="78"/>
      <c r="F27" s="78"/>
      <c r="G27" s="78"/>
      <c r="H27" s="78"/>
      <c r="I27" s="78"/>
      <c r="J27" s="79"/>
      <c r="K27" s="78"/>
      <c r="L27" s="69">
        <f t="shared" si="1"/>
        <v>0</v>
      </c>
      <c r="M27" s="70">
        <f t="shared" si="2"/>
        <v>0</v>
      </c>
      <c r="N27" s="70">
        <f t="shared" si="3"/>
        <v>0</v>
      </c>
      <c r="O27" s="71" t="str">
        <f t="shared" si="4"/>
        <v/>
      </c>
      <c r="P27" s="80" t="str">
        <f t="shared" si="5"/>
        <v/>
      </c>
      <c r="Q27" s="73"/>
      <c r="R27" s="74">
        <f t="shared" si="6"/>
        <v>4</v>
      </c>
      <c r="S27" s="75">
        <f t="shared" si="7"/>
        <v>0</v>
      </c>
      <c r="T27" s="76">
        <f t="shared" si="8"/>
        <v>0</v>
      </c>
      <c r="U27" s="76">
        <f t="shared" si="9"/>
        <v>0</v>
      </c>
      <c r="V27" s="76">
        <f t="shared" si="10"/>
        <v>0</v>
      </c>
      <c r="W27" s="74">
        <f t="shared" si="11"/>
        <v>0</v>
      </c>
      <c r="X27" s="1">
        <f t="shared" si="12"/>
        <v>0</v>
      </c>
      <c r="Y27" s="1">
        <f t="shared" si="13"/>
        <v>0</v>
      </c>
      <c r="Z27" s="1">
        <f t="shared" si="14"/>
        <v>0</v>
      </c>
      <c r="AA27" s="1">
        <f t="shared" si="15"/>
        <v>0</v>
      </c>
      <c r="AB27" s="1">
        <f t="shared" si="16"/>
        <v>0</v>
      </c>
      <c r="AC27" s="1">
        <f t="shared" si="17"/>
        <v>0</v>
      </c>
      <c r="AD27" s="1">
        <f>IF(D27="",0,VLOOKUP(D27,Lookup!$W$144:$X$165,2,FALSE))</f>
        <v>0</v>
      </c>
      <c r="AE27" s="1">
        <f t="shared" si="18"/>
        <v>0</v>
      </c>
      <c r="AF27" s="1"/>
      <c r="AG27" s="1">
        <f t="shared" si="19"/>
        <v>0</v>
      </c>
      <c r="AH27" s="1" t="str">
        <f t="shared" si="20"/>
        <v>-</v>
      </c>
      <c r="AI27" s="1">
        <f t="shared" si="21"/>
        <v>0</v>
      </c>
      <c r="AJ27" s="1" t="str">
        <f>IF(ISERROR(VLOOKUP(G27,Lookup!$J$93:$M$111,4,FALSE)),"NS",VLOOKUP(G27,Lookup!$J$93:$M$111,4,FALSE))</f>
        <v>NS</v>
      </c>
      <c r="AK27" s="1" t="str">
        <f t="shared" si="22"/>
        <v>NSNSNSNS</v>
      </c>
      <c r="AL27" s="1">
        <f>IF(D27="",0,IF(D27="Portable Def",3,VLOOKUP(AH27,Lookup!$B$3:$F$69,MATCH(F27,Lookup!$B$3:$F$3,0),FALSE)))</f>
        <v>0</v>
      </c>
      <c r="AM27" s="1">
        <f>IF(D27="Naval",0,IF(G27="",0,VLOOKUP(G27,Lookup!$J$93:$L$111,MATCH(AI27,Lookup!$J$93:$L$93,0),FALSE)))</f>
        <v>0</v>
      </c>
      <c r="AN27" s="1">
        <f>IF(H27="",0,VLOOKUP(H27,Lookup!$M$113:$O$128,MATCH(AI27,Lookup!$M$113:$O$113,0),FALSE))</f>
        <v>0</v>
      </c>
      <c r="AO27" s="1">
        <f>(IF(I27="",0,IF(AND(H27="Hvy W",I27="Hvy W"),0,VLOOKUP(I27,Lookup!$P$130:$R$137,MATCH(AI27,Lookup!$M$113:$O$113,0),FALSE))))</f>
        <v>0</v>
      </c>
      <c r="AP27" s="1">
        <f t="shared" si="23"/>
        <v>0</v>
      </c>
      <c r="AQ27" s="1">
        <f t="shared" si="24"/>
        <v>0</v>
      </c>
      <c r="AR27" s="1">
        <f t="shared" si="25"/>
        <v>0</v>
      </c>
      <c r="AS27" s="9">
        <f t="shared" si="26"/>
        <v>0</v>
      </c>
      <c r="AT27" s="1">
        <f t="shared" si="28"/>
        <v>0</v>
      </c>
      <c r="AU27" s="1">
        <f t="shared" si="27"/>
        <v>0</v>
      </c>
      <c r="AV27" s="1"/>
      <c r="AW27" s="1"/>
      <c r="AX27" s="1"/>
      <c r="AY27" s="1"/>
      <c r="AZ27" s="1"/>
      <c r="BA27" s="1"/>
    </row>
    <row r="28" spans="1:53" ht="16.5" customHeight="1" x14ac:dyDescent="0.2">
      <c r="A28" s="82"/>
      <c r="B28" s="77"/>
      <c r="C28" s="78"/>
      <c r="D28" s="78"/>
      <c r="E28" s="78"/>
      <c r="F28" s="78"/>
      <c r="G28" s="78"/>
      <c r="H28" s="78"/>
      <c r="I28" s="78"/>
      <c r="J28" s="79"/>
      <c r="K28" s="78"/>
      <c r="L28" s="69">
        <f t="shared" si="1"/>
        <v>0</v>
      </c>
      <c r="M28" s="70">
        <f t="shared" si="2"/>
        <v>0</v>
      </c>
      <c r="N28" s="70">
        <f t="shared" si="3"/>
        <v>0</v>
      </c>
      <c r="O28" s="71" t="str">
        <f t="shared" si="4"/>
        <v/>
      </c>
      <c r="P28" s="80" t="str">
        <f t="shared" si="5"/>
        <v/>
      </c>
      <c r="Q28" s="73"/>
      <c r="R28" s="74">
        <f t="shared" si="6"/>
        <v>4</v>
      </c>
      <c r="S28" s="75">
        <f t="shared" si="7"/>
        <v>0</v>
      </c>
      <c r="T28" s="76">
        <f t="shared" si="8"/>
        <v>0</v>
      </c>
      <c r="U28" s="76">
        <f t="shared" si="9"/>
        <v>0</v>
      </c>
      <c r="V28" s="76">
        <f t="shared" si="10"/>
        <v>0</v>
      </c>
      <c r="W28" s="74">
        <f t="shared" si="11"/>
        <v>0</v>
      </c>
      <c r="X28" s="1">
        <f t="shared" si="12"/>
        <v>0</v>
      </c>
      <c r="Y28" s="1">
        <f t="shared" si="13"/>
        <v>0</v>
      </c>
      <c r="Z28" s="1">
        <f t="shared" si="14"/>
        <v>0</v>
      </c>
      <c r="AA28" s="1">
        <f t="shared" si="15"/>
        <v>0</v>
      </c>
      <c r="AB28" s="1">
        <f t="shared" si="16"/>
        <v>0</v>
      </c>
      <c r="AC28" s="1">
        <f t="shared" si="17"/>
        <v>0</v>
      </c>
      <c r="AD28" s="1">
        <f>IF(D28="",0,VLOOKUP(D28,Lookup!$W$144:$X$165,2,FALSE))</f>
        <v>0</v>
      </c>
      <c r="AE28" s="1">
        <f t="shared" si="18"/>
        <v>0</v>
      </c>
      <c r="AF28" s="1"/>
      <c r="AG28" s="1">
        <f t="shared" si="19"/>
        <v>0</v>
      </c>
      <c r="AH28" s="1" t="str">
        <f t="shared" si="20"/>
        <v>-</v>
      </c>
      <c r="AI28" s="1">
        <f t="shared" si="21"/>
        <v>0</v>
      </c>
      <c r="AJ28" s="1" t="str">
        <f>IF(ISERROR(VLOOKUP(G28,Lookup!$J$93:$M$111,4,FALSE)),"NS",VLOOKUP(G28,Lookup!$J$93:$M$111,4,FALSE))</f>
        <v>NS</v>
      </c>
      <c r="AK28" s="1" t="str">
        <f t="shared" si="22"/>
        <v>NSNSNSNS</v>
      </c>
      <c r="AL28" s="1">
        <f>IF(D28="",0,IF(D28="Portable Def",3,VLOOKUP(AH28,Lookup!$B$3:$F$69,MATCH(F28,Lookup!$B$3:$F$3,0),FALSE)))</f>
        <v>0</v>
      </c>
      <c r="AM28" s="1">
        <f>IF(D28="Naval",0,IF(G28="",0,VLOOKUP(G28,Lookup!$J$93:$L$111,MATCH(AI28,Lookup!$J$93:$L$93,0),FALSE)))</f>
        <v>0</v>
      </c>
      <c r="AN28" s="1">
        <f>IF(H28="",0,VLOOKUP(H28,Lookup!$M$113:$O$128,MATCH(AI28,Lookup!$M$113:$O$113,0),FALSE))</f>
        <v>0</v>
      </c>
      <c r="AO28" s="1">
        <f>(IF(I28="",0,IF(AND(H28="Hvy W",I28="Hvy W"),0,VLOOKUP(I28,Lookup!$P$130:$R$137,MATCH(AI28,Lookup!$M$113:$O$113,0),FALSE))))</f>
        <v>0</v>
      </c>
      <c r="AP28" s="1">
        <f t="shared" si="23"/>
        <v>0</v>
      </c>
      <c r="AQ28" s="1">
        <f t="shared" si="24"/>
        <v>0</v>
      </c>
      <c r="AR28" s="1">
        <f t="shared" si="25"/>
        <v>0</v>
      </c>
      <c r="AS28" s="9">
        <f t="shared" si="26"/>
        <v>0</v>
      </c>
      <c r="AT28" s="1">
        <f t="shared" si="28"/>
        <v>0</v>
      </c>
      <c r="AU28" s="1">
        <f t="shared" si="27"/>
        <v>0</v>
      </c>
      <c r="AV28" s="1"/>
      <c r="AW28" s="1"/>
      <c r="AX28" s="1"/>
      <c r="AY28" s="1"/>
      <c r="AZ28" s="1"/>
      <c r="BA28" s="1"/>
    </row>
    <row r="29" spans="1:53" ht="16.5" customHeight="1" x14ac:dyDescent="0.2">
      <c r="A29" s="82"/>
      <c r="B29" s="77"/>
      <c r="C29" s="78"/>
      <c r="D29" s="78"/>
      <c r="E29" s="78"/>
      <c r="F29" s="78"/>
      <c r="G29" s="78"/>
      <c r="H29" s="78"/>
      <c r="I29" s="78"/>
      <c r="J29" s="79"/>
      <c r="K29" s="78"/>
      <c r="L29" s="69">
        <f t="shared" si="1"/>
        <v>0</v>
      </c>
      <c r="M29" s="70">
        <f t="shared" si="2"/>
        <v>0</v>
      </c>
      <c r="N29" s="70">
        <f t="shared" si="3"/>
        <v>0</v>
      </c>
      <c r="O29" s="71" t="str">
        <f t="shared" si="4"/>
        <v/>
      </c>
      <c r="P29" s="80" t="str">
        <f t="shared" si="5"/>
        <v/>
      </c>
      <c r="Q29" s="73"/>
      <c r="R29" s="74">
        <f t="shared" si="6"/>
        <v>4</v>
      </c>
      <c r="S29" s="75">
        <f t="shared" si="7"/>
        <v>0</v>
      </c>
      <c r="T29" s="76">
        <f t="shared" si="8"/>
        <v>0</v>
      </c>
      <c r="U29" s="76">
        <f t="shared" si="9"/>
        <v>0</v>
      </c>
      <c r="V29" s="76">
        <f t="shared" si="10"/>
        <v>0</v>
      </c>
      <c r="W29" s="74">
        <f t="shared" si="11"/>
        <v>0</v>
      </c>
      <c r="X29" s="1">
        <f t="shared" si="12"/>
        <v>0</v>
      </c>
      <c r="Y29" s="1">
        <f t="shared" si="13"/>
        <v>0</v>
      </c>
      <c r="Z29" s="1">
        <f t="shared" si="14"/>
        <v>0</v>
      </c>
      <c r="AA29" s="1">
        <f t="shared" si="15"/>
        <v>0</v>
      </c>
      <c r="AB29" s="1">
        <f t="shared" si="16"/>
        <v>0</v>
      </c>
      <c r="AC29" s="1">
        <f t="shared" si="17"/>
        <v>0</v>
      </c>
      <c r="AD29" s="1">
        <f>IF(D29="",0,VLOOKUP(D29,Lookup!$W$144:$X$165,2,FALSE))</f>
        <v>0</v>
      </c>
      <c r="AE29" s="1">
        <f t="shared" si="18"/>
        <v>0</v>
      </c>
      <c r="AF29" s="1"/>
      <c r="AG29" s="1">
        <f t="shared" si="19"/>
        <v>0</v>
      </c>
      <c r="AH29" s="1" t="str">
        <f t="shared" si="20"/>
        <v>-</v>
      </c>
      <c r="AI29" s="1">
        <f t="shared" si="21"/>
        <v>0</v>
      </c>
      <c r="AJ29" s="1" t="str">
        <f>IF(ISERROR(VLOOKUP(G29,Lookup!$J$93:$M$111,4,FALSE)),"NS",VLOOKUP(G29,Lookup!$J$93:$M$111,4,FALSE))</f>
        <v>NS</v>
      </c>
      <c r="AK29" s="1" t="str">
        <f t="shared" si="22"/>
        <v>NSNSNSNS</v>
      </c>
      <c r="AL29" s="1">
        <f>IF(D29="",0,IF(D29="Portable Def",3,VLOOKUP(AH29,Lookup!$B$3:$F$69,MATCH(F29,Lookup!$B$3:$F$3,0),FALSE)))</f>
        <v>0</v>
      </c>
      <c r="AM29" s="1">
        <f>IF(D29="Naval",0,IF(G29="",0,VLOOKUP(G29,Lookup!$J$93:$L$111,MATCH(AI29,Lookup!$J$93:$L$93,0),FALSE)))</f>
        <v>0</v>
      </c>
      <c r="AN29" s="1">
        <f>IF(H29="",0,VLOOKUP(H29,Lookup!$M$113:$O$128,MATCH(AI29,Lookup!$M$113:$O$113,0),FALSE))</f>
        <v>0</v>
      </c>
      <c r="AO29" s="1">
        <f>(IF(I29="",0,IF(AND(H29="Hvy W",I29="Hvy W"),0,VLOOKUP(I29,Lookup!$P$130:$R$137,MATCH(AI29,Lookup!$M$113:$O$113,0),FALSE))))</f>
        <v>0</v>
      </c>
      <c r="AP29" s="1">
        <f t="shared" si="23"/>
        <v>0</v>
      </c>
      <c r="AQ29" s="1">
        <f t="shared" si="24"/>
        <v>0</v>
      </c>
      <c r="AR29" s="1">
        <f t="shared" si="25"/>
        <v>0</v>
      </c>
      <c r="AS29" s="9">
        <f t="shared" si="26"/>
        <v>0</v>
      </c>
      <c r="AT29" s="1">
        <f t="shared" si="28"/>
        <v>0</v>
      </c>
      <c r="AU29" s="1">
        <f t="shared" si="27"/>
        <v>0</v>
      </c>
      <c r="AV29" s="1"/>
      <c r="AW29" s="1"/>
      <c r="AX29" s="1"/>
      <c r="AY29" s="1"/>
      <c r="AZ29" s="1"/>
      <c r="BA29" s="1"/>
    </row>
    <row r="30" spans="1:53" ht="16.5" customHeight="1" x14ac:dyDescent="0.2">
      <c r="A30" s="82"/>
      <c r="B30" s="77"/>
      <c r="C30" s="78"/>
      <c r="D30" s="78"/>
      <c r="E30" s="78"/>
      <c r="F30" s="78"/>
      <c r="G30" s="78"/>
      <c r="H30" s="78"/>
      <c r="I30" s="78"/>
      <c r="J30" s="79"/>
      <c r="K30" s="78"/>
      <c r="L30" s="69">
        <f t="shared" si="1"/>
        <v>0</v>
      </c>
      <c r="M30" s="70">
        <f t="shared" si="2"/>
        <v>0</v>
      </c>
      <c r="N30" s="70">
        <f t="shared" si="3"/>
        <v>0</v>
      </c>
      <c r="O30" s="71" t="str">
        <f t="shared" si="4"/>
        <v/>
      </c>
      <c r="P30" s="80" t="str">
        <f t="shared" si="5"/>
        <v/>
      </c>
      <c r="Q30" s="73"/>
      <c r="R30" s="74">
        <f t="shared" si="6"/>
        <v>4</v>
      </c>
      <c r="S30" s="75">
        <f t="shared" si="7"/>
        <v>0</v>
      </c>
      <c r="T30" s="76">
        <f t="shared" si="8"/>
        <v>0</v>
      </c>
      <c r="U30" s="76">
        <f t="shared" si="9"/>
        <v>0</v>
      </c>
      <c r="V30" s="76">
        <f t="shared" si="10"/>
        <v>0</v>
      </c>
      <c r="W30" s="74">
        <f t="shared" si="11"/>
        <v>0</v>
      </c>
      <c r="X30" s="1">
        <f t="shared" si="12"/>
        <v>0</v>
      </c>
      <c r="Y30" s="1">
        <f t="shared" si="13"/>
        <v>0</v>
      </c>
      <c r="Z30" s="1">
        <f t="shared" si="14"/>
        <v>0</v>
      </c>
      <c r="AA30" s="1">
        <f t="shared" si="15"/>
        <v>0</v>
      </c>
      <c r="AB30" s="1">
        <f t="shared" si="16"/>
        <v>0</v>
      </c>
      <c r="AC30" s="1">
        <f t="shared" si="17"/>
        <v>0</v>
      </c>
      <c r="AD30" s="1">
        <f>IF(D30="",0,VLOOKUP(D30,Lookup!$W$144:$X$165,2,FALSE))</f>
        <v>0</v>
      </c>
      <c r="AE30" s="1">
        <f t="shared" si="18"/>
        <v>0</v>
      </c>
      <c r="AF30" s="1"/>
      <c r="AG30" s="1">
        <f t="shared" si="19"/>
        <v>0</v>
      </c>
      <c r="AH30" s="1" t="str">
        <f t="shared" si="20"/>
        <v>-</v>
      </c>
      <c r="AI30" s="1">
        <f t="shared" si="21"/>
        <v>0</v>
      </c>
      <c r="AJ30" s="1" t="str">
        <f>IF(ISERROR(VLOOKUP(G30,Lookup!$J$93:$M$111,4,FALSE)),"NS",VLOOKUP(G30,Lookup!$J$93:$M$111,4,FALSE))</f>
        <v>NS</v>
      </c>
      <c r="AK30" s="1" t="str">
        <f t="shared" si="22"/>
        <v>NSNSNSNS</v>
      </c>
      <c r="AL30" s="1">
        <f>IF(D30="",0,IF(D30="Portable Def",3,VLOOKUP(AH30,Lookup!$B$3:$F$69,MATCH(F30,Lookup!$B$3:$F$3,0),FALSE)))</f>
        <v>0</v>
      </c>
      <c r="AM30" s="1">
        <f>IF(D30="Naval",0,IF(G30="",0,VLOOKUP(G30,Lookup!$J$93:$L$111,MATCH(AI30,Lookup!$J$93:$L$93,0),FALSE)))</f>
        <v>0</v>
      </c>
      <c r="AN30" s="1">
        <f>IF(H30="",0,VLOOKUP(H30,Lookup!$M$113:$O$128,MATCH(AI30,Lookup!$M$113:$O$113,0),FALSE))</f>
        <v>0</v>
      </c>
      <c r="AO30" s="1">
        <f>(IF(I30="",0,IF(AND(H30="Hvy W",I30="Hvy W"),0,VLOOKUP(I30,Lookup!$P$130:$R$137,MATCH(AI30,Lookup!$M$113:$O$113,0),FALSE))))</f>
        <v>0</v>
      </c>
      <c r="AP30" s="1">
        <f t="shared" si="23"/>
        <v>0</v>
      </c>
      <c r="AQ30" s="1">
        <f t="shared" si="24"/>
        <v>0</v>
      </c>
      <c r="AR30" s="1">
        <f t="shared" si="25"/>
        <v>0</v>
      </c>
      <c r="AS30" s="9">
        <f t="shared" si="26"/>
        <v>0</v>
      </c>
      <c r="AT30" s="1">
        <f t="shared" si="28"/>
        <v>0</v>
      </c>
      <c r="AU30" s="1">
        <f t="shared" si="27"/>
        <v>0</v>
      </c>
      <c r="AV30" s="1"/>
      <c r="AW30" s="1"/>
      <c r="AX30" s="1"/>
      <c r="AY30" s="1"/>
      <c r="AZ30" s="1"/>
      <c r="BA30" s="1"/>
    </row>
    <row r="31" spans="1:53" ht="16.5" customHeight="1" x14ac:dyDescent="0.2">
      <c r="A31" s="82"/>
      <c r="B31" s="77"/>
      <c r="C31" s="78"/>
      <c r="D31" s="78"/>
      <c r="E31" s="78"/>
      <c r="F31" s="78"/>
      <c r="G31" s="78"/>
      <c r="H31" s="78"/>
      <c r="I31" s="78"/>
      <c r="J31" s="79"/>
      <c r="K31" s="78"/>
      <c r="L31" s="69">
        <f t="shared" si="1"/>
        <v>0</v>
      </c>
      <c r="M31" s="70">
        <f t="shared" si="2"/>
        <v>0</v>
      </c>
      <c r="N31" s="70">
        <f t="shared" si="3"/>
        <v>0</v>
      </c>
      <c r="O31" s="71" t="str">
        <f t="shared" si="4"/>
        <v/>
      </c>
      <c r="P31" s="80" t="str">
        <f t="shared" si="5"/>
        <v/>
      </c>
      <c r="Q31" s="73"/>
      <c r="R31" s="74">
        <f t="shared" si="6"/>
        <v>4</v>
      </c>
      <c r="S31" s="75">
        <f t="shared" si="7"/>
        <v>0</v>
      </c>
      <c r="T31" s="76">
        <f t="shared" si="8"/>
        <v>0</v>
      </c>
      <c r="U31" s="76">
        <f t="shared" si="9"/>
        <v>0</v>
      </c>
      <c r="V31" s="76">
        <f t="shared" si="10"/>
        <v>0</v>
      </c>
      <c r="W31" s="74">
        <f t="shared" si="11"/>
        <v>0</v>
      </c>
      <c r="X31" s="1">
        <f t="shared" si="12"/>
        <v>0</v>
      </c>
      <c r="Y31" s="1">
        <f t="shared" si="13"/>
        <v>0</v>
      </c>
      <c r="Z31" s="1">
        <f t="shared" si="14"/>
        <v>0</v>
      </c>
      <c r="AA31" s="1">
        <f t="shared" si="15"/>
        <v>0</v>
      </c>
      <c r="AB31" s="1">
        <f t="shared" si="16"/>
        <v>0</v>
      </c>
      <c r="AC31" s="1">
        <f t="shared" si="17"/>
        <v>0</v>
      </c>
      <c r="AD31" s="1">
        <f>IF(D31="",0,VLOOKUP(D31,Lookup!$W$144:$X$165,2,FALSE))</f>
        <v>0</v>
      </c>
      <c r="AE31" s="1">
        <f t="shared" si="18"/>
        <v>0</v>
      </c>
      <c r="AF31" s="1"/>
      <c r="AG31" s="1">
        <f t="shared" si="19"/>
        <v>0</v>
      </c>
      <c r="AH31" s="1" t="str">
        <f t="shared" si="20"/>
        <v>-</v>
      </c>
      <c r="AI31" s="1">
        <f t="shared" si="21"/>
        <v>0</v>
      </c>
      <c r="AJ31" s="1" t="str">
        <f>IF(ISERROR(VLOOKUP(G31,Lookup!$J$93:$M$111,4,FALSE)),"NS",VLOOKUP(G31,Lookup!$J$93:$M$111,4,FALSE))</f>
        <v>NS</v>
      </c>
      <c r="AK31" s="1" t="str">
        <f t="shared" si="22"/>
        <v>NSNSNSNS</v>
      </c>
      <c r="AL31" s="1">
        <f>IF(D31="",0,IF(D31="Portable Def",3,VLOOKUP(AH31,Lookup!$B$3:$F$69,MATCH(F31,Lookup!$B$3:$F$3,0),FALSE)))</f>
        <v>0</v>
      </c>
      <c r="AM31" s="1">
        <f>IF(D31="Naval",0,IF(G31="",0,VLOOKUP(G31,Lookup!$J$93:$L$111,MATCH(AI31,Lookup!$J$93:$L$93,0),FALSE)))</f>
        <v>0</v>
      </c>
      <c r="AN31" s="1">
        <f>IF(H31="",0,VLOOKUP(H31,Lookup!$M$113:$O$128,MATCH(AI31,Lookup!$M$113:$O$113,0),FALSE))</f>
        <v>0</v>
      </c>
      <c r="AO31" s="1">
        <f>(IF(I31="",0,IF(AND(H31="Hvy W",I31="Hvy W"),0,VLOOKUP(I31,Lookup!$P$130:$R$137,MATCH(AI31,Lookup!$M$113:$O$113,0),FALSE))))</f>
        <v>0</v>
      </c>
      <c r="AP31" s="1">
        <f t="shared" si="23"/>
        <v>0</v>
      </c>
      <c r="AQ31" s="1">
        <f t="shared" si="24"/>
        <v>0</v>
      </c>
      <c r="AR31" s="1">
        <f t="shared" si="25"/>
        <v>0</v>
      </c>
      <c r="AS31" s="9">
        <f t="shared" si="26"/>
        <v>0</v>
      </c>
      <c r="AT31" s="1">
        <f t="shared" si="28"/>
        <v>0</v>
      </c>
      <c r="AU31" s="1">
        <f t="shared" si="27"/>
        <v>0</v>
      </c>
      <c r="AV31" s="1"/>
      <c r="AW31" s="1"/>
      <c r="AX31" s="1"/>
      <c r="AY31" s="1"/>
      <c r="AZ31" s="1"/>
      <c r="BA31" s="1"/>
    </row>
    <row r="32" spans="1:53" ht="16.5" customHeight="1" x14ac:dyDescent="0.2">
      <c r="A32" s="82"/>
      <c r="B32" s="58"/>
      <c r="C32" s="78"/>
      <c r="D32" s="78"/>
      <c r="E32" s="78"/>
      <c r="F32" s="78"/>
      <c r="G32" s="78"/>
      <c r="H32" s="78"/>
      <c r="I32" s="78"/>
      <c r="J32" s="78"/>
      <c r="K32" s="78"/>
      <c r="L32" s="69">
        <f t="shared" si="1"/>
        <v>0</v>
      </c>
      <c r="M32" s="70">
        <f t="shared" si="2"/>
        <v>0</v>
      </c>
      <c r="N32" s="70">
        <f t="shared" si="3"/>
        <v>0</v>
      </c>
      <c r="O32" s="71" t="str">
        <f t="shared" si="4"/>
        <v/>
      </c>
      <c r="P32" s="80" t="str">
        <f t="shared" si="5"/>
        <v/>
      </c>
      <c r="Q32" s="73"/>
      <c r="R32" s="74">
        <f t="shared" si="6"/>
        <v>4</v>
      </c>
      <c r="S32" s="75">
        <f t="shared" si="7"/>
        <v>0</v>
      </c>
      <c r="T32" s="76">
        <f t="shared" si="8"/>
        <v>0</v>
      </c>
      <c r="U32" s="76">
        <f t="shared" si="9"/>
        <v>0</v>
      </c>
      <c r="V32" s="76">
        <f t="shared" si="10"/>
        <v>0</v>
      </c>
      <c r="W32" s="74">
        <f t="shared" si="11"/>
        <v>0</v>
      </c>
      <c r="X32" s="1">
        <f t="shared" si="12"/>
        <v>0</v>
      </c>
      <c r="Y32" s="1">
        <f t="shared" si="13"/>
        <v>0</v>
      </c>
      <c r="Z32" s="1">
        <f t="shared" si="14"/>
        <v>0</v>
      </c>
      <c r="AA32" s="1">
        <f t="shared" si="15"/>
        <v>0</v>
      </c>
      <c r="AB32" s="1">
        <f t="shared" si="16"/>
        <v>0</v>
      </c>
      <c r="AC32" s="1">
        <f t="shared" si="17"/>
        <v>0</v>
      </c>
      <c r="AD32" s="1">
        <f>IF(D32="",0,VLOOKUP(D32,Lookup!$W$144:$X$165,2,FALSE))</f>
        <v>0</v>
      </c>
      <c r="AE32" s="1">
        <f t="shared" si="18"/>
        <v>0</v>
      </c>
      <c r="AF32" s="1"/>
      <c r="AG32" s="1">
        <f t="shared" si="19"/>
        <v>0</v>
      </c>
      <c r="AH32" s="1" t="str">
        <f t="shared" si="20"/>
        <v>-</v>
      </c>
      <c r="AI32" s="1">
        <f t="shared" si="21"/>
        <v>0</v>
      </c>
      <c r="AJ32" s="1" t="str">
        <f>IF(ISERROR(VLOOKUP(G32,Lookup!$J$93:$M$111,4,FALSE)),"NS",VLOOKUP(G32,Lookup!$J$93:$M$111,4,FALSE))</f>
        <v>NS</v>
      </c>
      <c r="AK32" s="1" t="str">
        <f t="shared" si="22"/>
        <v>NSNSNSNS</v>
      </c>
      <c r="AL32" s="1">
        <f>IF(D32="",0,IF(D32="Portable Def",3,VLOOKUP(AH32,Lookup!$B$3:$F$69,MATCH(F32,Lookup!$B$3:$F$3,0),FALSE)))</f>
        <v>0</v>
      </c>
      <c r="AM32" s="1">
        <f>IF(D32="Naval",0,IF(G32="",0,VLOOKUP(G32,Lookup!$J$93:$L$111,MATCH(AI32,Lookup!$J$93:$L$93,0),FALSE)))</f>
        <v>0</v>
      </c>
      <c r="AN32" s="1">
        <f>IF(H32="",0,VLOOKUP(H32,Lookup!$M$113:$O$128,MATCH(AI32,Lookup!$M$113:$O$113,0),FALSE))</f>
        <v>0</v>
      </c>
      <c r="AO32" s="1">
        <f>(IF(I32="",0,IF(AND(H32="Hvy W",I32="Hvy W"),0,VLOOKUP(I32,Lookup!$P$130:$R$137,MATCH(AI32,Lookup!$M$113:$O$113,0),FALSE))))</f>
        <v>0</v>
      </c>
      <c r="AP32" s="1">
        <f t="shared" si="23"/>
        <v>0</v>
      </c>
      <c r="AQ32" s="1">
        <f t="shared" si="24"/>
        <v>0</v>
      </c>
      <c r="AR32" s="1">
        <f t="shared" si="25"/>
        <v>0</v>
      </c>
      <c r="AS32" s="9">
        <f t="shared" si="26"/>
        <v>0</v>
      </c>
      <c r="AT32" s="1">
        <f t="shared" si="28"/>
        <v>0</v>
      </c>
      <c r="AU32" s="1">
        <f t="shared" si="27"/>
        <v>0</v>
      </c>
      <c r="AV32" s="1"/>
      <c r="AW32" s="1"/>
      <c r="AX32" s="1"/>
      <c r="AY32" s="1"/>
      <c r="AZ32" s="1"/>
      <c r="BA32" s="1"/>
    </row>
    <row r="33" spans="1:53" ht="16.5" customHeight="1" x14ac:dyDescent="0.2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69">
        <f t="shared" si="1"/>
        <v>0</v>
      </c>
      <c r="M33" s="70">
        <f t="shared" si="2"/>
        <v>0</v>
      </c>
      <c r="N33" s="70">
        <f t="shared" si="3"/>
        <v>0</v>
      </c>
      <c r="O33" s="71" t="str">
        <f t="shared" si="4"/>
        <v/>
      </c>
      <c r="P33" s="80" t="str">
        <f t="shared" si="5"/>
        <v/>
      </c>
      <c r="Q33" s="73"/>
      <c r="R33" s="74">
        <f t="shared" si="6"/>
        <v>4</v>
      </c>
      <c r="S33" s="75">
        <f t="shared" si="7"/>
        <v>0</v>
      </c>
      <c r="T33" s="76">
        <f t="shared" si="8"/>
        <v>0</v>
      </c>
      <c r="U33" s="76">
        <f t="shared" si="9"/>
        <v>0</v>
      </c>
      <c r="V33" s="76">
        <f t="shared" si="10"/>
        <v>0</v>
      </c>
      <c r="W33" s="74">
        <f t="shared" si="11"/>
        <v>0</v>
      </c>
      <c r="X33" s="1">
        <f t="shared" si="12"/>
        <v>0</v>
      </c>
      <c r="Y33" s="1">
        <f t="shared" si="13"/>
        <v>0</v>
      </c>
      <c r="Z33" s="1">
        <f t="shared" si="14"/>
        <v>0</v>
      </c>
      <c r="AA33" s="1">
        <f t="shared" si="15"/>
        <v>0</v>
      </c>
      <c r="AB33" s="1">
        <f t="shared" si="16"/>
        <v>0</v>
      </c>
      <c r="AC33" s="1">
        <f t="shared" si="17"/>
        <v>0</v>
      </c>
      <c r="AD33" s="1">
        <f>IF(D33="",0,VLOOKUP(D33,Lookup!$W$144:$X$165,2,FALSE))</f>
        <v>0</v>
      </c>
      <c r="AE33" s="1">
        <f t="shared" si="18"/>
        <v>0</v>
      </c>
      <c r="AF33" s="1"/>
      <c r="AG33" s="1">
        <f t="shared" si="19"/>
        <v>0</v>
      </c>
      <c r="AH33" s="1" t="str">
        <f t="shared" si="20"/>
        <v>-</v>
      </c>
      <c r="AI33" s="1">
        <f t="shared" si="21"/>
        <v>0</v>
      </c>
      <c r="AJ33" s="1" t="str">
        <f>IF(ISERROR(VLOOKUP(G33,Lookup!$J$93:$M$111,4,FALSE)),"NS",VLOOKUP(G33,Lookup!$J$93:$M$111,4,FALSE))</f>
        <v>NS</v>
      </c>
      <c r="AK33" s="1" t="str">
        <f t="shared" si="22"/>
        <v>NSNSNSNS</v>
      </c>
      <c r="AL33" s="1">
        <f>IF(D33="",0,IF(D33="Portable Def",3,VLOOKUP(AH33,Lookup!$B$3:$F$69,MATCH(F33,Lookup!$B$3:$F$3,0),FALSE)))</f>
        <v>0</v>
      </c>
      <c r="AM33" s="1">
        <f>IF(D33="Naval",0,IF(G33="",0,VLOOKUP(G33,Lookup!$J$93:$L$111,MATCH(AI33,Lookup!$J$93:$L$93,0),FALSE)))</f>
        <v>0</v>
      </c>
      <c r="AN33" s="1">
        <f>IF(H33="",0,VLOOKUP(H33,Lookup!$M$113:$O$128,MATCH(AI33,Lookup!$M$113:$O$113,0),FALSE))</f>
        <v>0</v>
      </c>
      <c r="AO33" s="1">
        <f>(IF(I33="",0,IF(AND(H33="Hvy W",I33="Hvy W"),0,VLOOKUP(I33,Lookup!$P$130:$R$137,MATCH(AI33,Lookup!$M$113:$O$113,0),FALSE))))</f>
        <v>0</v>
      </c>
      <c r="AP33" s="1">
        <f t="shared" si="23"/>
        <v>0</v>
      </c>
      <c r="AQ33" s="1">
        <f t="shared" si="24"/>
        <v>0</v>
      </c>
      <c r="AR33" s="1">
        <f t="shared" si="25"/>
        <v>0</v>
      </c>
      <c r="AS33" s="9">
        <f t="shared" si="26"/>
        <v>0</v>
      </c>
      <c r="AT33" s="1">
        <f t="shared" si="28"/>
        <v>0</v>
      </c>
      <c r="AU33" s="1">
        <f t="shared" si="27"/>
        <v>0</v>
      </c>
      <c r="AV33" s="1"/>
      <c r="AW33" s="1"/>
      <c r="AX33" s="1"/>
      <c r="AY33" s="1"/>
      <c r="AZ33" s="1"/>
      <c r="BA33" s="1"/>
    </row>
    <row r="34" spans="1:53" ht="16.5" customHeight="1" x14ac:dyDescent="0.2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4"/>
      <c r="L34" s="69">
        <f t="shared" si="1"/>
        <v>0</v>
      </c>
      <c r="M34" s="70">
        <f t="shared" si="2"/>
        <v>0</v>
      </c>
      <c r="N34" s="70">
        <f t="shared" si="3"/>
        <v>0</v>
      </c>
      <c r="O34" s="71" t="str">
        <f t="shared" si="4"/>
        <v/>
      </c>
      <c r="P34" s="80" t="str">
        <f t="shared" si="5"/>
        <v/>
      </c>
      <c r="Q34" s="73"/>
      <c r="R34" s="74">
        <f t="shared" si="6"/>
        <v>4</v>
      </c>
      <c r="S34" s="75">
        <f t="shared" si="7"/>
        <v>0</v>
      </c>
      <c r="T34" s="76">
        <f t="shared" si="8"/>
        <v>0</v>
      </c>
      <c r="U34" s="76">
        <f t="shared" si="9"/>
        <v>0</v>
      </c>
      <c r="V34" s="76">
        <f t="shared" si="10"/>
        <v>0</v>
      </c>
      <c r="W34" s="74">
        <f t="shared" si="11"/>
        <v>0</v>
      </c>
      <c r="X34" s="1">
        <f t="shared" si="12"/>
        <v>0</v>
      </c>
      <c r="Y34" s="1">
        <f t="shared" si="13"/>
        <v>0</v>
      </c>
      <c r="Z34" s="1">
        <f t="shared" si="14"/>
        <v>0</v>
      </c>
      <c r="AA34" s="1">
        <f t="shared" si="15"/>
        <v>0</v>
      </c>
      <c r="AB34" s="1">
        <f t="shared" si="16"/>
        <v>0</v>
      </c>
      <c r="AC34" s="1">
        <f t="shared" si="17"/>
        <v>0</v>
      </c>
      <c r="AD34" s="1">
        <f>IF(D34="",0,VLOOKUP(D34,Lookup!$W$144:$X$165,2,FALSE))</f>
        <v>0</v>
      </c>
      <c r="AE34" s="1">
        <f t="shared" si="18"/>
        <v>0</v>
      </c>
      <c r="AF34" s="1"/>
      <c r="AG34" s="1">
        <f t="shared" si="19"/>
        <v>0</v>
      </c>
      <c r="AH34" s="1" t="str">
        <f t="shared" si="20"/>
        <v>-</v>
      </c>
      <c r="AI34" s="1">
        <f t="shared" si="21"/>
        <v>0</v>
      </c>
      <c r="AJ34" s="1" t="str">
        <f>IF(ISERROR(VLOOKUP(G34,Lookup!$J$93:$M$111,4,FALSE)),"NS",VLOOKUP(G34,Lookup!$J$93:$M$111,4,FALSE))</f>
        <v>NS</v>
      </c>
      <c r="AK34" s="1" t="str">
        <f t="shared" si="22"/>
        <v>NSNSNSNS</v>
      </c>
      <c r="AL34" s="1">
        <f>IF(D34="",0,IF(D34="Portable Def",3,VLOOKUP(AH34,Lookup!$B$3:$F$69,MATCH(F34,Lookup!$B$3:$F$3,0),FALSE)))</f>
        <v>0</v>
      </c>
      <c r="AM34" s="1">
        <f>IF(D34="Naval",0,IF(G34="",0,VLOOKUP(G34,Lookup!$J$93:$L$111,MATCH(AI34,Lookup!$J$93:$L$93,0),FALSE)))</f>
        <v>0</v>
      </c>
      <c r="AN34" s="1">
        <f>IF(H34="",0,VLOOKUP(H34,Lookup!$M$113:$O$128,MATCH(AI34,Lookup!$M$113:$O$113,0),FALSE))</f>
        <v>0</v>
      </c>
      <c r="AO34" s="1">
        <f>(IF(I34="",0,IF(AND(H34="Hvy W",I34="Hvy W"),0,VLOOKUP(I34,Lookup!$P$130:$R$137,MATCH(AI34,Lookup!$M$113:$O$113,0),FALSE))))</f>
        <v>0</v>
      </c>
      <c r="AP34" s="1">
        <f t="shared" si="23"/>
        <v>0</v>
      </c>
      <c r="AQ34" s="1">
        <f t="shared" si="24"/>
        <v>0</v>
      </c>
      <c r="AR34" s="1">
        <f t="shared" si="25"/>
        <v>0</v>
      </c>
      <c r="AS34" s="9">
        <f t="shared" si="26"/>
        <v>0</v>
      </c>
      <c r="AT34" s="1">
        <f t="shared" si="28"/>
        <v>0</v>
      </c>
      <c r="AU34" s="1">
        <f t="shared" si="27"/>
        <v>0</v>
      </c>
      <c r="AV34" s="1"/>
      <c r="AW34" s="1"/>
      <c r="AX34" s="1"/>
      <c r="AY34" s="1"/>
      <c r="AZ34" s="1"/>
      <c r="BA34" s="1"/>
    </row>
    <row r="35" spans="1:53" ht="16.5" customHeight="1" x14ac:dyDescent="0.2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4"/>
      <c r="L35" s="69">
        <f t="shared" si="1"/>
        <v>0</v>
      </c>
      <c r="M35" s="70">
        <f t="shared" si="2"/>
        <v>0</v>
      </c>
      <c r="N35" s="70">
        <f t="shared" si="3"/>
        <v>0</v>
      </c>
      <c r="O35" s="71" t="str">
        <f t="shared" si="4"/>
        <v/>
      </c>
      <c r="P35" s="80" t="str">
        <f t="shared" si="5"/>
        <v/>
      </c>
      <c r="Q35" s="73"/>
      <c r="R35" s="74">
        <f t="shared" si="6"/>
        <v>4</v>
      </c>
      <c r="S35" s="75">
        <f t="shared" si="7"/>
        <v>0</v>
      </c>
      <c r="T35" s="76">
        <f t="shared" si="8"/>
        <v>0</v>
      </c>
      <c r="U35" s="76">
        <f t="shared" si="9"/>
        <v>0</v>
      </c>
      <c r="V35" s="76">
        <f t="shared" si="10"/>
        <v>0</v>
      </c>
      <c r="W35" s="74">
        <f t="shared" si="11"/>
        <v>0</v>
      </c>
      <c r="X35" s="1">
        <f t="shared" si="12"/>
        <v>0</v>
      </c>
      <c r="Y35" s="1">
        <f t="shared" si="13"/>
        <v>0</v>
      </c>
      <c r="Z35" s="1">
        <f t="shared" si="14"/>
        <v>0</v>
      </c>
      <c r="AA35" s="1">
        <f t="shared" si="15"/>
        <v>0</v>
      </c>
      <c r="AB35" s="1">
        <f t="shared" si="16"/>
        <v>0</v>
      </c>
      <c r="AC35" s="1">
        <f t="shared" si="17"/>
        <v>0</v>
      </c>
      <c r="AD35" s="1">
        <f>IF(D35="",0,VLOOKUP(D35,Lookup!$W$144:$X$165,2,FALSE))</f>
        <v>0</v>
      </c>
      <c r="AE35" s="1">
        <f t="shared" si="18"/>
        <v>0</v>
      </c>
      <c r="AF35" s="1"/>
      <c r="AG35" s="1">
        <f t="shared" si="19"/>
        <v>0</v>
      </c>
      <c r="AH35" s="1" t="str">
        <f t="shared" si="20"/>
        <v>-</v>
      </c>
      <c r="AI35" s="1">
        <f t="shared" si="21"/>
        <v>0</v>
      </c>
      <c r="AJ35" s="1" t="str">
        <f>IF(ISERROR(VLOOKUP(G35,Lookup!$J$93:$M$111,4,FALSE)),"NS",VLOOKUP(G35,Lookup!$J$93:$M$111,4,FALSE))</f>
        <v>NS</v>
      </c>
      <c r="AK35" s="1" t="str">
        <f t="shared" si="22"/>
        <v>NSNSNSNS</v>
      </c>
      <c r="AL35" s="1">
        <f>IF(D35="",0,IF(D35="Portable Def",3,VLOOKUP(AH35,Lookup!$B$3:$F$69,MATCH(F35,Lookup!$B$3:$F$3,0),FALSE)))</f>
        <v>0</v>
      </c>
      <c r="AM35" s="1">
        <f>IF(D35="Naval",0,IF(G35="",0,VLOOKUP(G35,Lookup!$J$93:$L$111,MATCH(AI35,Lookup!$J$93:$L$93,0),FALSE)))</f>
        <v>0</v>
      </c>
      <c r="AN35" s="1">
        <f>IF(H35="",0,VLOOKUP(H35,Lookup!$M$113:$O$128,MATCH(AI35,Lookup!$M$113:$O$113,0),FALSE))</f>
        <v>0</v>
      </c>
      <c r="AO35" s="1">
        <f>(IF(I35="",0,IF(AND(H35="Hvy W",I35="Hvy W"),0,VLOOKUP(I35,Lookup!$P$130:$R$137,MATCH(AI35,Lookup!$M$113:$O$113,0),FALSE))))</f>
        <v>0</v>
      </c>
      <c r="AP35" s="1">
        <f t="shared" si="23"/>
        <v>0</v>
      </c>
      <c r="AQ35" s="1">
        <f t="shared" si="24"/>
        <v>0</v>
      </c>
      <c r="AR35" s="1">
        <f t="shared" si="25"/>
        <v>0</v>
      </c>
      <c r="AS35" s="9">
        <f t="shared" si="26"/>
        <v>0</v>
      </c>
      <c r="AT35" s="1">
        <f t="shared" si="28"/>
        <v>0</v>
      </c>
      <c r="AU35" s="1">
        <f t="shared" si="27"/>
        <v>0</v>
      </c>
      <c r="AV35" s="1"/>
      <c r="AW35" s="1"/>
      <c r="AX35" s="1"/>
      <c r="AY35" s="1"/>
      <c r="AZ35" s="1"/>
      <c r="BA35" s="1"/>
    </row>
    <row r="36" spans="1:53" ht="16.5" customHeight="1" x14ac:dyDescent="0.2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4"/>
      <c r="L36" s="69">
        <f t="shared" si="1"/>
        <v>0</v>
      </c>
      <c r="M36" s="70">
        <f t="shared" si="2"/>
        <v>0</v>
      </c>
      <c r="N36" s="70">
        <f t="shared" si="3"/>
        <v>0</v>
      </c>
      <c r="O36" s="71" t="str">
        <f t="shared" si="4"/>
        <v/>
      </c>
      <c r="P36" s="80" t="str">
        <f t="shared" si="5"/>
        <v/>
      </c>
      <c r="Q36" s="73"/>
      <c r="R36" s="74">
        <f t="shared" si="6"/>
        <v>4</v>
      </c>
      <c r="S36" s="75">
        <f t="shared" si="7"/>
        <v>0</v>
      </c>
      <c r="T36" s="76">
        <f t="shared" si="8"/>
        <v>0</v>
      </c>
      <c r="U36" s="76">
        <f t="shared" si="9"/>
        <v>0</v>
      </c>
      <c r="V36" s="76">
        <f t="shared" si="10"/>
        <v>0</v>
      </c>
      <c r="W36" s="74">
        <f t="shared" si="11"/>
        <v>0</v>
      </c>
      <c r="X36" s="1">
        <f t="shared" si="12"/>
        <v>0</v>
      </c>
      <c r="Y36" s="1">
        <f t="shared" si="13"/>
        <v>0</v>
      </c>
      <c r="Z36" s="1">
        <f t="shared" si="14"/>
        <v>0</v>
      </c>
      <c r="AA36" s="1">
        <f t="shared" si="15"/>
        <v>0</v>
      </c>
      <c r="AB36" s="1">
        <f t="shared" si="16"/>
        <v>0</v>
      </c>
      <c r="AC36" s="1">
        <f t="shared" si="17"/>
        <v>0</v>
      </c>
      <c r="AD36" s="1">
        <f>IF(D36="",0,VLOOKUP(D36,Lookup!$W$144:$X$165,2,FALSE))</f>
        <v>0</v>
      </c>
      <c r="AE36" s="1">
        <f t="shared" si="18"/>
        <v>0</v>
      </c>
      <c r="AF36" s="1"/>
      <c r="AG36" s="1">
        <f t="shared" si="19"/>
        <v>0</v>
      </c>
      <c r="AH36" s="1" t="str">
        <f t="shared" si="20"/>
        <v>-</v>
      </c>
      <c r="AI36" s="1">
        <f t="shared" si="21"/>
        <v>0</v>
      </c>
      <c r="AJ36" s="1" t="str">
        <f>IF(ISERROR(VLOOKUP(G36,Lookup!$J$93:$M$111,4,FALSE)),"NS",VLOOKUP(G36,Lookup!$J$93:$M$111,4,FALSE))</f>
        <v>NS</v>
      </c>
      <c r="AK36" s="1" t="str">
        <f t="shared" si="22"/>
        <v>NSNSNSNS</v>
      </c>
      <c r="AL36" s="1">
        <f>IF(D36="",0,IF(D36="Portable Def",3,VLOOKUP(AH36,Lookup!$B$3:$F$69,MATCH(F36,Lookup!$B$3:$F$3,0),FALSE)))</f>
        <v>0</v>
      </c>
      <c r="AM36" s="1">
        <f>IF(D36="Naval",0,IF(G36="",0,VLOOKUP(G36,Lookup!$J$93:$L$111,MATCH(AI36,Lookup!$J$93:$L$93,0),FALSE)))</f>
        <v>0</v>
      </c>
      <c r="AN36" s="1">
        <f>IF(H36="",0,VLOOKUP(H36,Lookup!$M$113:$O$128,MATCH(AI36,Lookup!$M$113:$O$113,0),FALSE))</f>
        <v>0</v>
      </c>
      <c r="AO36" s="1">
        <f>(IF(I36="",0,IF(AND(H36="Hvy W",I36="Hvy W"),0,VLOOKUP(I36,Lookup!$P$130:$R$137,MATCH(AI36,Lookup!$M$113:$O$113,0),FALSE))))</f>
        <v>0</v>
      </c>
      <c r="AP36" s="1">
        <f t="shared" si="23"/>
        <v>0</v>
      </c>
      <c r="AQ36" s="1">
        <f t="shared" si="24"/>
        <v>0</v>
      </c>
      <c r="AR36" s="1">
        <f t="shared" si="25"/>
        <v>0</v>
      </c>
      <c r="AS36" s="9">
        <f t="shared" si="26"/>
        <v>0</v>
      </c>
      <c r="AT36" s="1">
        <f t="shared" si="28"/>
        <v>0</v>
      </c>
      <c r="AU36" s="1">
        <f t="shared" si="27"/>
        <v>0</v>
      </c>
      <c r="AV36" s="1"/>
      <c r="AW36" s="1"/>
      <c r="AX36" s="1"/>
      <c r="AY36" s="1"/>
      <c r="AZ36" s="1"/>
      <c r="BA36" s="1"/>
    </row>
    <row r="37" spans="1:53" ht="16.5" customHeight="1" x14ac:dyDescent="0.2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4"/>
      <c r="L37" s="69">
        <f t="shared" si="1"/>
        <v>0</v>
      </c>
      <c r="M37" s="70">
        <f t="shared" si="2"/>
        <v>0</v>
      </c>
      <c r="N37" s="70">
        <f t="shared" si="3"/>
        <v>0</v>
      </c>
      <c r="O37" s="71" t="str">
        <f t="shared" si="4"/>
        <v/>
      </c>
      <c r="P37" s="80" t="str">
        <f t="shared" si="5"/>
        <v/>
      </c>
      <c r="Q37" s="73"/>
      <c r="R37" s="74">
        <f t="shared" si="6"/>
        <v>4</v>
      </c>
      <c r="S37" s="75">
        <f t="shared" si="7"/>
        <v>0</v>
      </c>
      <c r="T37" s="76">
        <f t="shared" si="8"/>
        <v>0</v>
      </c>
      <c r="U37" s="76">
        <f t="shared" si="9"/>
        <v>0</v>
      </c>
      <c r="V37" s="76">
        <f t="shared" si="10"/>
        <v>0</v>
      </c>
      <c r="W37" s="74">
        <f t="shared" si="11"/>
        <v>0</v>
      </c>
      <c r="X37" s="1">
        <f t="shared" si="12"/>
        <v>0</v>
      </c>
      <c r="Y37" s="1">
        <f t="shared" si="13"/>
        <v>0</v>
      </c>
      <c r="Z37" s="1">
        <f t="shared" si="14"/>
        <v>0</v>
      </c>
      <c r="AA37" s="1">
        <f t="shared" si="15"/>
        <v>0</v>
      </c>
      <c r="AB37" s="1">
        <f t="shared" si="16"/>
        <v>0</v>
      </c>
      <c r="AC37" s="1">
        <f t="shared" si="17"/>
        <v>0</v>
      </c>
      <c r="AD37" s="1">
        <f>IF(D37="",0,VLOOKUP(D37,Lookup!$W$144:$X$165,2,FALSE))</f>
        <v>0</v>
      </c>
      <c r="AE37" s="1">
        <f t="shared" si="18"/>
        <v>0</v>
      </c>
      <c r="AF37" s="1"/>
      <c r="AG37" s="1">
        <f t="shared" si="19"/>
        <v>0</v>
      </c>
      <c r="AH37" s="1" t="str">
        <f t="shared" si="20"/>
        <v>-</v>
      </c>
      <c r="AI37" s="1">
        <f t="shared" si="21"/>
        <v>0</v>
      </c>
      <c r="AJ37" s="1" t="str">
        <f>IF(ISERROR(VLOOKUP(G37,Lookup!$J$93:$M$111,4,FALSE)),"NS",VLOOKUP(G37,Lookup!$J$93:$M$111,4,FALSE))</f>
        <v>NS</v>
      </c>
      <c r="AK37" s="1" t="str">
        <f t="shared" si="22"/>
        <v>NSNSNSNS</v>
      </c>
      <c r="AL37" s="1">
        <f>IF(D37="",0,IF(D37="Portable Def",3,VLOOKUP(AH37,Lookup!$B$3:$F$69,MATCH(F37,Lookup!$B$3:$F$3,0),FALSE)))</f>
        <v>0</v>
      </c>
      <c r="AM37" s="1">
        <f>IF(D37="Naval",0,IF(G37="",0,VLOOKUP(G37,Lookup!$J$93:$L$111,MATCH(AI37,Lookup!$J$93:$L$93,0),FALSE)))</f>
        <v>0</v>
      </c>
      <c r="AN37" s="1">
        <f>IF(H37="",0,VLOOKUP(H37,Lookup!$M$113:$O$128,MATCH(AI37,Lookup!$M$113:$O$113,0),FALSE))</f>
        <v>0</v>
      </c>
      <c r="AO37" s="1">
        <f>(IF(I37="",0,IF(AND(H37="Hvy W",I37="Hvy W"),0,VLOOKUP(I37,Lookup!$P$130:$R$137,MATCH(AI37,Lookup!$M$113:$O$113,0),FALSE))))</f>
        <v>0</v>
      </c>
      <c r="AP37" s="1">
        <f t="shared" si="23"/>
        <v>0</v>
      </c>
      <c r="AQ37" s="1">
        <f t="shared" si="24"/>
        <v>0</v>
      </c>
      <c r="AR37" s="1">
        <f t="shared" si="25"/>
        <v>0</v>
      </c>
      <c r="AS37" s="9">
        <f t="shared" si="26"/>
        <v>0</v>
      </c>
      <c r="AT37" s="1">
        <f t="shared" si="28"/>
        <v>0</v>
      </c>
      <c r="AU37" s="1">
        <f t="shared" si="27"/>
        <v>0</v>
      </c>
      <c r="AV37" s="1"/>
      <c r="AW37" s="1"/>
      <c r="AX37" s="1"/>
      <c r="AY37" s="1"/>
      <c r="AZ37" s="1"/>
      <c r="BA37" s="1"/>
    </row>
    <row r="38" spans="1:53" ht="16.5" customHeight="1" x14ac:dyDescent="0.2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4"/>
      <c r="L38" s="69">
        <f t="shared" si="1"/>
        <v>0</v>
      </c>
      <c r="M38" s="70">
        <f t="shared" si="2"/>
        <v>0</v>
      </c>
      <c r="N38" s="70">
        <f t="shared" si="3"/>
        <v>0</v>
      </c>
      <c r="O38" s="71" t="str">
        <f t="shared" si="4"/>
        <v/>
      </c>
      <c r="P38" s="80" t="str">
        <f t="shared" si="5"/>
        <v/>
      </c>
      <c r="Q38" s="73"/>
      <c r="R38" s="74">
        <f t="shared" si="6"/>
        <v>4</v>
      </c>
      <c r="S38" s="75">
        <f t="shared" si="7"/>
        <v>0</v>
      </c>
      <c r="T38" s="76">
        <f t="shared" si="8"/>
        <v>0</v>
      </c>
      <c r="U38" s="76">
        <f t="shared" si="9"/>
        <v>0</v>
      </c>
      <c r="V38" s="76">
        <f t="shared" si="10"/>
        <v>0</v>
      </c>
      <c r="W38" s="74">
        <f t="shared" si="11"/>
        <v>0</v>
      </c>
      <c r="X38" s="1">
        <f t="shared" si="12"/>
        <v>0</v>
      </c>
      <c r="Y38" s="1">
        <f t="shared" si="13"/>
        <v>0</v>
      </c>
      <c r="Z38" s="1">
        <f t="shared" si="14"/>
        <v>0</v>
      </c>
      <c r="AA38" s="1">
        <f t="shared" si="15"/>
        <v>0</v>
      </c>
      <c r="AB38" s="1">
        <f t="shared" si="16"/>
        <v>0</v>
      </c>
      <c r="AC38" s="1">
        <f t="shared" si="17"/>
        <v>0</v>
      </c>
      <c r="AD38" s="1">
        <f>IF(D38="",0,VLOOKUP(D38,Lookup!$W$144:$X$165,2,FALSE))</f>
        <v>0</v>
      </c>
      <c r="AE38" s="1">
        <f t="shared" si="18"/>
        <v>0</v>
      </c>
      <c r="AF38" s="1"/>
      <c r="AG38" s="1">
        <f t="shared" si="19"/>
        <v>0</v>
      </c>
      <c r="AH38" s="1" t="str">
        <f t="shared" si="20"/>
        <v>-</v>
      </c>
      <c r="AI38" s="1">
        <f t="shared" si="21"/>
        <v>0</v>
      </c>
      <c r="AJ38" s="1" t="str">
        <f>IF(ISERROR(VLOOKUP(G38,Lookup!$J$93:$M$111,4,FALSE)),"NS",VLOOKUP(G38,Lookup!$J$93:$M$111,4,FALSE))</f>
        <v>NS</v>
      </c>
      <c r="AK38" s="1" t="str">
        <f t="shared" si="22"/>
        <v>NSNSNSNS</v>
      </c>
      <c r="AL38" s="1">
        <f>IF(D38="",0,IF(D38="Portable Def",3,VLOOKUP(AH38,Lookup!$B$3:$F$69,MATCH(F38,Lookup!$B$3:$F$3,0),FALSE)))</f>
        <v>0</v>
      </c>
      <c r="AM38" s="1">
        <f>IF(D38="Naval",0,IF(G38="",0,VLOOKUP(G38,Lookup!$J$93:$L$111,MATCH(AI38,Lookup!$J$93:$L$93,0),FALSE)))</f>
        <v>0</v>
      </c>
      <c r="AN38" s="1">
        <f>IF(H38="",0,VLOOKUP(H38,Lookup!$M$113:$O$128,MATCH(AI38,Lookup!$M$113:$O$113,0),FALSE))</f>
        <v>0</v>
      </c>
      <c r="AO38" s="1">
        <f>(IF(I38="",0,IF(AND(H38="Hvy W",I38="Hvy W"),0,VLOOKUP(I38,Lookup!$P$130:$R$137,MATCH(AI38,Lookup!$M$113:$O$113,0),FALSE))))</f>
        <v>0</v>
      </c>
      <c r="AP38" s="1">
        <f t="shared" si="23"/>
        <v>0</v>
      </c>
      <c r="AQ38" s="1">
        <f t="shared" si="24"/>
        <v>0</v>
      </c>
      <c r="AR38" s="1">
        <f t="shared" si="25"/>
        <v>0</v>
      </c>
      <c r="AS38" s="9">
        <f t="shared" si="26"/>
        <v>0</v>
      </c>
      <c r="AT38" s="1">
        <f t="shared" si="28"/>
        <v>0</v>
      </c>
      <c r="AU38" s="1">
        <f t="shared" si="27"/>
        <v>0</v>
      </c>
      <c r="AV38" s="1"/>
      <c r="AW38" s="1"/>
      <c r="AX38" s="1"/>
      <c r="AY38" s="1"/>
      <c r="AZ38" s="1"/>
      <c r="BA38" s="1"/>
    </row>
    <row r="39" spans="1:53" ht="16.5" customHeight="1" x14ac:dyDescent="0.2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4"/>
      <c r="L39" s="69">
        <f t="shared" si="1"/>
        <v>0</v>
      </c>
      <c r="M39" s="70">
        <f t="shared" si="2"/>
        <v>0</v>
      </c>
      <c r="N39" s="70">
        <f t="shared" si="3"/>
        <v>0</v>
      </c>
      <c r="O39" s="71" t="str">
        <f t="shared" si="4"/>
        <v/>
      </c>
      <c r="P39" s="80" t="str">
        <f t="shared" si="5"/>
        <v/>
      </c>
      <c r="Q39" s="73"/>
      <c r="R39" s="74">
        <f t="shared" si="6"/>
        <v>4</v>
      </c>
      <c r="S39" s="75">
        <f t="shared" si="7"/>
        <v>0</v>
      </c>
      <c r="T39" s="76">
        <f t="shared" si="8"/>
        <v>0</v>
      </c>
      <c r="U39" s="76">
        <f t="shared" si="9"/>
        <v>0</v>
      </c>
      <c r="V39" s="76">
        <f t="shared" si="10"/>
        <v>0</v>
      </c>
      <c r="W39" s="74">
        <f t="shared" si="11"/>
        <v>0</v>
      </c>
      <c r="X39" s="1">
        <f t="shared" si="12"/>
        <v>0</v>
      </c>
      <c r="Y39" s="1">
        <f t="shared" si="13"/>
        <v>0</v>
      </c>
      <c r="Z39" s="1">
        <f t="shared" si="14"/>
        <v>0</v>
      </c>
      <c r="AA39" s="1">
        <f t="shared" si="15"/>
        <v>0</v>
      </c>
      <c r="AB39" s="1">
        <f t="shared" si="16"/>
        <v>0</v>
      </c>
      <c r="AC39" s="1">
        <f t="shared" si="17"/>
        <v>0</v>
      </c>
      <c r="AD39" s="1">
        <f>IF(D39="",0,VLOOKUP(D39,Lookup!$W$144:$X$165,2,FALSE))</f>
        <v>0</v>
      </c>
      <c r="AE39" s="1">
        <f t="shared" si="18"/>
        <v>0</v>
      </c>
      <c r="AF39" s="1"/>
      <c r="AG39" s="1">
        <f t="shared" si="19"/>
        <v>0</v>
      </c>
      <c r="AH39" s="1" t="str">
        <f t="shared" si="20"/>
        <v>-</v>
      </c>
      <c r="AI39" s="1">
        <f t="shared" si="21"/>
        <v>0</v>
      </c>
      <c r="AJ39" s="1" t="str">
        <f>IF(ISERROR(VLOOKUP(G39,Lookup!$J$93:$M$111,4,FALSE)),"NS",VLOOKUP(G39,Lookup!$J$93:$M$111,4,FALSE))</f>
        <v>NS</v>
      </c>
      <c r="AK39" s="1" t="str">
        <f t="shared" si="22"/>
        <v>NSNSNSNS</v>
      </c>
      <c r="AL39" s="1">
        <f>IF(D39="",0,IF(D39="Portable Def",3,VLOOKUP(AH39,Lookup!$B$3:$F$69,MATCH(F39,Lookup!$B$3:$F$3,0),FALSE)))</f>
        <v>0</v>
      </c>
      <c r="AM39" s="1">
        <f>IF(D39="Naval",0,IF(G39="",0,VLOOKUP(G39,Lookup!$J$93:$L$111,MATCH(AI39,Lookup!$J$93:$L$93,0),FALSE)))</f>
        <v>0</v>
      </c>
      <c r="AN39" s="1">
        <f>IF(H39="",0,VLOOKUP(H39,Lookup!$M$113:$O$128,MATCH(AI39,Lookup!$M$113:$O$113,0),FALSE))</f>
        <v>0</v>
      </c>
      <c r="AO39" s="1">
        <f>(IF(I39="",0,IF(AND(H39="Hvy W",I39="Hvy W"),0,VLOOKUP(I39,Lookup!$P$130:$R$137,MATCH(AI39,Lookup!$M$113:$O$113,0),FALSE))))</f>
        <v>0</v>
      </c>
      <c r="AP39" s="1">
        <f t="shared" si="23"/>
        <v>0</v>
      </c>
      <c r="AQ39" s="1">
        <f t="shared" si="24"/>
        <v>0</v>
      </c>
      <c r="AR39" s="1">
        <f t="shared" si="25"/>
        <v>0</v>
      </c>
      <c r="AS39" s="9">
        <f t="shared" si="26"/>
        <v>0</v>
      </c>
      <c r="AT39" s="1">
        <f t="shared" si="28"/>
        <v>0</v>
      </c>
      <c r="AU39" s="1">
        <f t="shared" si="27"/>
        <v>0</v>
      </c>
      <c r="AV39" s="1"/>
      <c r="AW39" s="1"/>
      <c r="AX39" s="1"/>
      <c r="AY39" s="1"/>
      <c r="AZ39" s="1"/>
      <c r="BA39" s="1"/>
    </row>
    <row r="40" spans="1:53" ht="16.5" customHeight="1" x14ac:dyDescent="0.2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4"/>
      <c r="L40" s="69">
        <f t="shared" si="1"/>
        <v>0</v>
      </c>
      <c r="M40" s="70">
        <f t="shared" si="2"/>
        <v>0</v>
      </c>
      <c r="N40" s="70">
        <f t="shared" si="3"/>
        <v>0</v>
      </c>
      <c r="O40" s="71" t="str">
        <f t="shared" si="4"/>
        <v/>
      </c>
      <c r="P40" s="80" t="str">
        <f t="shared" si="5"/>
        <v/>
      </c>
      <c r="Q40" s="73"/>
      <c r="R40" s="74">
        <f t="shared" si="6"/>
        <v>4</v>
      </c>
      <c r="S40" s="75">
        <f t="shared" si="7"/>
        <v>0</v>
      </c>
      <c r="T40" s="76">
        <f t="shared" si="8"/>
        <v>0</v>
      </c>
      <c r="U40" s="76">
        <f t="shared" si="9"/>
        <v>0</v>
      </c>
      <c r="V40" s="76">
        <f t="shared" si="10"/>
        <v>0</v>
      </c>
      <c r="W40" s="74">
        <f t="shared" si="11"/>
        <v>0</v>
      </c>
      <c r="X40" s="1">
        <f t="shared" si="12"/>
        <v>0</v>
      </c>
      <c r="Y40" s="1">
        <f t="shared" si="13"/>
        <v>0</v>
      </c>
      <c r="Z40" s="1">
        <f t="shared" si="14"/>
        <v>0</v>
      </c>
      <c r="AA40" s="1">
        <f t="shared" si="15"/>
        <v>0</v>
      </c>
      <c r="AB40" s="1">
        <f t="shared" si="16"/>
        <v>0</v>
      </c>
      <c r="AC40" s="1">
        <f t="shared" si="17"/>
        <v>0</v>
      </c>
      <c r="AD40" s="1">
        <f>IF(D40="",0,VLOOKUP(D40,Lookup!$W$144:$X$165,2,FALSE))</f>
        <v>0</v>
      </c>
      <c r="AE40" s="1">
        <f t="shared" si="18"/>
        <v>0</v>
      </c>
      <c r="AF40" s="1"/>
      <c r="AG40" s="1">
        <f t="shared" si="19"/>
        <v>0</v>
      </c>
      <c r="AH40" s="1" t="str">
        <f t="shared" si="20"/>
        <v>-</v>
      </c>
      <c r="AI40" s="1">
        <f t="shared" si="21"/>
        <v>0</v>
      </c>
      <c r="AJ40" s="1" t="str">
        <f>IF(ISERROR(VLOOKUP(G40,Lookup!$J$93:$M$111,4,FALSE)),"NS",VLOOKUP(G40,Lookup!$J$93:$M$111,4,FALSE))</f>
        <v>NS</v>
      </c>
      <c r="AK40" s="1" t="str">
        <f t="shared" si="22"/>
        <v>NSNSNSNS</v>
      </c>
      <c r="AL40" s="1">
        <f>IF(D40="",0,IF(D40="Portable Def",3,VLOOKUP(AH40,Lookup!$B$3:$F$69,MATCH(F40,Lookup!$B$3:$F$3,0),FALSE)))</f>
        <v>0</v>
      </c>
      <c r="AM40" s="1">
        <f>IF(D40="Naval",0,IF(G40="",0,VLOOKUP(G40,Lookup!$J$93:$L$111,MATCH(AI40,Lookup!$J$93:$L$93,0),FALSE)))</f>
        <v>0</v>
      </c>
      <c r="AN40" s="1">
        <f>IF(H40="",0,VLOOKUP(H40,Lookup!$M$113:$O$128,MATCH(AI40,Lookup!$M$113:$O$113,0),FALSE))</f>
        <v>0</v>
      </c>
      <c r="AO40" s="1">
        <f>(IF(I40="",0,IF(AND(H40="Hvy W",I40="Hvy W"),0,VLOOKUP(I40,Lookup!$P$130:$R$137,MATCH(AI40,Lookup!$M$113:$O$113,0),FALSE))))</f>
        <v>0</v>
      </c>
      <c r="AP40" s="1">
        <f t="shared" si="23"/>
        <v>0</v>
      </c>
      <c r="AQ40" s="1">
        <f t="shared" si="24"/>
        <v>0</v>
      </c>
      <c r="AR40" s="1">
        <f t="shared" si="25"/>
        <v>0</v>
      </c>
      <c r="AS40" s="9">
        <f t="shared" si="26"/>
        <v>0</v>
      </c>
      <c r="AT40" s="1">
        <f t="shared" si="28"/>
        <v>0</v>
      </c>
      <c r="AU40" s="1">
        <f t="shared" si="27"/>
        <v>0</v>
      </c>
      <c r="AV40" s="1"/>
      <c r="AW40" s="1"/>
      <c r="AX40" s="1"/>
      <c r="AY40" s="1"/>
      <c r="AZ40" s="1"/>
      <c r="BA40" s="1"/>
    </row>
    <row r="41" spans="1:53" ht="16.5" customHeight="1" x14ac:dyDescent="0.2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4"/>
      <c r="L41" s="69">
        <f t="shared" si="1"/>
        <v>0</v>
      </c>
      <c r="M41" s="70">
        <f t="shared" si="2"/>
        <v>0</v>
      </c>
      <c r="N41" s="70">
        <f t="shared" si="3"/>
        <v>0</v>
      </c>
      <c r="O41" s="71" t="str">
        <f t="shared" si="4"/>
        <v/>
      </c>
      <c r="P41" s="80" t="str">
        <f t="shared" si="5"/>
        <v/>
      </c>
      <c r="Q41" s="73"/>
      <c r="R41" s="74">
        <f t="shared" si="6"/>
        <v>4</v>
      </c>
      <c r="S41" s="75">
        <f t="shared" si="7"/>
        <v>0</v>
      </c>
      <c r="T41" s="76">
        <f t="shared" si="8"/>
        <v>0</v>
      </c>
      <c r="U41" s="76">
        <f t="shared" si="9"/>
        <v>0</v>
      </c>
      <c r="V41" s="76">
        <f t="shared" si="10"/>
        <v>0</v>
      </c>
      <c r="W41" s="74">
        <f t="shared" si="11"/>
        <v>0</v>
      </c>
      <c r="X41" s="1">
        <f t="shared" si="12"/>
        <v>0</v>
      </c>
      <c r="Y41" s="1">
        <f t="shared" si="13"/>
        <v>0</v>
      </c>
      <c r="Z41" s="1">
        <f t="shared" si="14"/>
        <v>0</v>
      </c>
      <c r="AA41" s="1">
        <f t="shared" si="15"/>
        <v>0</v>
      </c>
      <c r="AB41" s="1">
        <f t="shared" si="16"/>
        <v>0</v>
      </c>
      <c r="AC41" s="1">
        <f t="shared" si="17"/>
        <v>0</v>
      </c>
      <c r="AD41" s="1">
        <f>IF(D41="",0,VLOOKUP(D41,Lookup!$W$144:$X$165,2,FALSE))</f>
        <v>0</v>
      </c>
      <c r="AE41" s="1">
        <f t="shared" si="18"/>
        <v>0</v>
      </c>
      <c r="AF41" s="1"/>
      <c r="AG41" s="1">
        <f t="shared" si="19"/>
        <v>0</v>
      </c>
      <c r="AH41" s="1" t="str">
        <f t="shared" si="20"/>
        <v>-</v>
      </c>
      <c r="AI41" s="1">
        <f t="shared" si="21"/>
        <v>0</v>
      </c>
      <c r="AJ41" s="1" t="str">
        <f>IF(ISERROR(VLOOKUP(G41,Lookup!$J$93:$M$111,4,FALSE)),"NS",VLOOKUP(G41,Lookup!$J$93:$M$111,4,FALSE))</f>
        <v>NS</v>
      </c>
      <c r="AK41" s="1" t="str">
        <f t="shared" si="22"/>
        <v>NSNSNSNS</v>
      </c>
      <c r="AL41" s="1">
        <f>IF(D41="",0,IF(D41="Portable Def",3,VLOOKUP(AH41,Lookup!$B$3:$F$69,MATCH(F41,Lookup!$B$3:$F$3,0),FALSE)))</f>
        <v>0</v>
      </c>
      <c r="AM41" s="1">
        <f>IF(D41="Naval",0,IF(G41="",0,VLOOKUP(G41,Lookup!$J$93:$L$111,MATCH(AI41,Lookup!$J$93:$L$93,0),FALSE)))</f>
        <v>0</v>
      </c>
      <c r="AN41" s="1">
        <f>IF(H41="",0,VLOOKUP(H41,Lookup!$M$113:$O$128,MATCH(AI41,Lookup!$M$113:$O$113,0),FALSE))</f>
        <v>0</v>
      </c>
      <c r="AO41" s="1">
        <f>(IF(I41="",0,IF(AND(H41="Hvy W",I41="Hvy W"),0,VLOOKUP(I41,Lookup!$P$130:$R$137,MATCH(AI41,Lookup!$M$113:$O$113,0),FALSE))))</f>
        <v>0</v>
      </c>
      <c r="AP41" s="1">
        <f t="shared" si="23"/>
        <v>0</v>
      </c>
      <c r="AQ41" s="1">
        <f t="shared" si="24"/>
        <v>0</v>
      </c>
      <c r="AR41" s="1">
        <f t="shared" si="25"/>
        <v>0</v>
      </c>
      <c r="AS41" s="9">
        <f t="shared" si="26"/>
        <v>0</v>
      </c>
      <c r="AT41" s="1">
        <f t="shared" si="28"/>
        <v>0</v>
      </c>
      <c r="AU41" s="1">
        <f t="shared" si="27"/>
        <v>0</v>
      </c>
      <c r="AV41" s="1"/>
      <c r="AW41" s="1"/>
      <c r="AX41" s="1"/>
      <c r="AY41" s="1"/>
      <c r="AZ41" s="1"/>
      <c r="BA41" s="1"/>
    </row>
    <row r="42" spans="1:53" ht="16.5" customHeight="1" x14ac:dyDescent="0.2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4"/>
      <c r="L42" s="69">
        <f t="shared" si="1"/>
        <v>0</v>
      </c>
      <c r="M42" s="70">
        <f t="shared" si="2"/>
        <v>0</v>
      </c>
      <c r="N42" s="70">
        <f t="shared" si="3"/>
        <v>0</v>
      </c>
      <c r="O42" s="71" t="str">
        <f t="shared" si="4"/>
        <v/>
      </c>
      <c r="P42" s="80" t="str">
        <f t="shared" si="5"/>
        <v/>
      </c>
      <c r="Q42" s="73"/>
      <c r="R42" s="74">
        <f t="shared" si="6"/>
        <v>4</v>
      </c>
      <c r="S42" s="75">
        <f t="shared" si="7"/>
        <v>0</v>
      </c>
      <c r="T42" s="76">
        <f t="shared" si="8"/>
        <v>0</v>
      </c>
      <c r="U42" s="76">
        <f t="shared" si="9"/>
        <v>0</v>
      </c>
      <c r="V42" s="76">
        <f t="shared" si="10"/>
        <v>0</v>
      </c>
      <c r="W42" s="74">
        <f t="shared" si="11"/>
        <v>0</v>
      </c>
      <c r="X42" s="1">
        <f t="shared" si="12"/>
        <v>0</v>
      </c>
      <c r="Y42" s="1">
        <f t="shared" si="13"/>
        <v>0</v>
      </c>
      <c r="Z42" s="1">
        <f t="shared" si="14"/>
        <v>0</v>
      </c>
      <c r="AA42" s="1">
        <f t="shared" si="15"/>
        <v>0</v>
      </c>
      <c r="AB42" s="1">
        <f t="shared" si="16"/>
        <v>0</v>
      </c>
      <c r="AC42" s="1">
        <f t="shared" si="17"/>
        <v>0</v>
      </c>
      <c r="AD42" s="1">
        <f>IF(D42="",0,VLOOKUP(D42,Lookup!$W$144:$X$165,2,FALSE))</f>
        <v>0</v>
      </c>
      <c r="AE42" s="1">
        <f t="shared" si="18"/>
        <v>0</v>
      </c>
      <c r="AF42" s="1"/>
      <c r="AG42" s="1">
        <f t="shared" si="19"/>
        <v>0</v>
      </c>
      <c r="AH42" s="1" t="str">
        <f t="shared" si="20"/>
        <v>-</v>
      </c>
      <c r="AI42" s="1">
        <f t="shared" si="21"/>
        <v>0</v>
      </c>
      <c r="AJ42" s="1" t="str">
        <f>IF(ISERROR(VLOOKUP(G42,Lookup!$J$93:$M$111,4,FALSE)),"NS",VLOOKUP(G42,Lookup!$J$93:$M$111,4,FALSE))</f>
        <v>NS</v>
      </c>
      <c r="AK42" s="1" t="str">
        <f t="shared" si="22"/>
        <v>NSNSNSNS</v>
      </c>
      <c r="AL42" s="1">
        <f>IF(D42="",0,IF(D42="Portable Def",3,VLOOKUP(AH42,Lookup!$B$3:$F$69,MATCH(F42,Lookup!$B$3:$F$3,0),FALSE)))</f>
        <v>0</v>
      </c>
      <c r="AM42" s="1">
        <f>IF(D42="Naval",0,IF(G42="",0,VLOOKUP(G42,Lookup!$J$93:$L$111,MATCH(AI42,Lookup!$J$93:$L$93,0),FALSE)))</f>
        <v>0</v>
      </c>
      <c r="AN42" s="1">
        <f>IF(H42="",0,VLOOKUP(H42,Lookup!$M$113:$O$128,MATCH(AI42,Lookup!$M$113:$O$113,0),FALSE))</f>
        <v>0</v>
      </c>
      <c r="AO42" s="1">
        <f>(IF(I42="",0,IF(AND(H42="Hvy W",I42="Hvy W"),0,VLOOKUP(I42,Lookup!$P$130:$R$137,MATCH(AI42,Lookup!$M$113:$O$113,0),FALSE))))</f>
        <v>0</v>
      </c>
      <c r="AP42" s="1">
        <f t="shared" si="23"/>
        <v>0</v>
      </c>
      <c r="AQ42" s="1">
        <f t="shared" si="24"/>
        <v>0</v>
      </c>
      <c r="AR42" s="1">
        <f t="shared" si="25"/>
        <v>0</v>
      </c>
      <c r="AS42" s="9">
        <f t="shared" si="26"/>
        <v>0</v>
      </c>
      <c r="AT42" s="1">
        <f t="shared" si="28"/>
        <v>0</v>
      </c>
      <c r="AU42" s="1">
        <f t="shared" si="27"/>
        <v>0</v>
      </c>
      <c r="AV42" s="1"/>
      <c r="AW42" s="1"/>
      <c r="AX42" s="1"/>
      <c r="AY42" s="1"/>
      <c r="AZ42" s="1"/>
      <c r="BA42" s="1"/>
    </row>
    <row r="43" spans="1:53" ht="16.5" customHeight="1" x14ac:dyDescent="0.2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4"/>
      <c r="L43" s="69">
        <f t="shared" si="1"/>
        <v>0</v>
      </c>
      <c r="M43" s="70">
        <f t="shared" si="2"/>
        <v>0</v>
      </c>
      <c r="N43" s="70">
        <f t="shared" si="3"/>
        <v>0</v>
      </c>
      <c r="O43" s="71" t="str">
        <f t="shared" si="4"/>
        <v/>
      </c>
      <c r="P43" s="80" t="str">
        <f t="shared" si="5"/>
        <v/>
      </c>
      <c r="Q43" s="73"/>
      <c r="R43" s="74">
        <f t="shared" si="6"/>
        <v>4</v>
      </c>
      <c r="S43" s="75">
        <f t="shared" si="7"/>
        <v>0</v>
      </c>
      <c r="T43" s="76">
        <f t="shared" si="8"/>
        <v>0</v>
      </c>
      <c r="U43" s="76">
        <f t="shared" si="9"/>
        <v>0</v>
      </c>
      <c r="V43" s="76">
        <f t="shared" si="10"/>
        <v>0</v>
      </c>
      <c r="W43" s="74">
        <f t="shared" si="11"/>
        <v>0</v>
      </c>
      <c r="X43" s="1">
        <f t="shared" si="12"/>
        <v>0</v>
      </c>
      <c r="Y43" s="1">
        <f t="shared" si="13"/>
        <v>0</v>
      </c>
      <c r="Z43" s="1">
        <f t="shared" si="14"/>
        <v>0</v>
      </c>
      <c r="AA43" s="1">
        <f t="shared" si="15"/>
        <v>0</v>
      </c>
      <c r="AB43" s="1">
        <f t="shared" si="16"/>
        <v>0</v>
      </c>
      <c r="AC43" s="1">
        <f t="shared" si="17"/>
        <v>0</v>
      </c>
      <c r="AD43" s="1">
        <f>IF(D43="",0,VLOOKUP(D43,Lookup!$W$144:$X$165,2,FALSE))</f>
        <v>0</v>
      </c>
      <c r="AE43" s="1">
        <f t="shared" si="18"/>
        <v>0</v>
      </c>
      <c r="AF43" s="1"/>
      <c r="AG43" s="1">
        <f t="shared" si="19"/>
        <v>0</v>
      </c>
      <c r="AH43" s="1" t="str">
        <f t="shared" si="20"/>
        <v>-</v>
      </c>
      <c r="AI43" s="1">
        <f t="shared" si="21"/>
        <v>0</v>
      </c>
      <c r="AJ43" s="1" t="str">
        <f>IF(ISERROR(VLOOKUP(G43,Lookup!$J$93:$M$111,4,FALSE)),"NS",VLOOKUP(G43,Lookup!$J$93:$M$111,4,FALSE))</f>
        <v>NS</v>
      </c>
      <c r="AK43" s="1" t="str">
        <f t="shared" si="22"/>
        <v>NSNSNSNS</v>
      </c>
      <c r="AL43" s="1">
        <f>IF(D43="",0,IF(D43="Portable Def",3,VLOOKUP(AH43,Lookup!$B$3:$F$69,MATCH(F43,Lookup!$B$3:$F$3,0),FALSE)))</f>
        <v>0</v>
      </c>
      <c r="AM43" s="1">
        <f>IF(D43="Naval",0,IF(G43="",0,VLOOKUP(G43,Lookup!$J$93:$L$111,MATCH(AI43,Lookup!$J$93:$L$93,0),FALSE)))</f>
        <v>0</v>
      </c>
      <c r="AN43" s="1">
        <f>IF(H43="",0,VLOOKUP(H43,Lookup!$M$113:$O$128,MATCH(AI43,Lookup!$M$113:$O$113,0),FALSE))</f>
        <v>0</v>
      </c>
      <c r="AO43" s="1">
        <f>(IF(I43="",0,IF(AND(H43="Hvy W",I43="Hvy W"),0,VLOOKUP(I43,Lookup!$P$130:$R$137,MATCH(AI43,Lookup!$M$113:$O$113,0),FALSE))))</f>
        <v>0</v>
      </c>
      <c r="AP43" s="1">
        <f t="shared" si="23"/>
        <v>0</v>
      </c>
      <c r="AQ43" s="1">
        <f t="shared" si="24"/>
        <v>0</v>
      </c>
      <c r="AR43" s="1">
        <f t="shared" si="25"/>
        <v>0</v>
      </c>
      <c r="AS43" s="9">
        <f t="shared" si="26"/>
        <v>0</v>
      </c>
      <c r="AT43" s="1">
        <f t="shared" si="28"/>
        <v>0</v>
      </c>
      <c r="AU43" s="1">
        <f t="shared" si="27"/>
        <v>0</v>
      </c>
      <c r="AV43" s="1"/>
      <c r="AW43" s="1"/>
      <c r="AX43" s="1"/>
      <c r="AY43" s="1"/>
      <c r="AZ43" s="1"/>
      <c r="BA43" s="1"/>
    </row>
    <row r="44" spans="1:53" ht="16.5" customHeight="1" x14ac:dyDescent="0.2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4"/>
      <c r="L44" s="69">
        <f t="shared" si="1"/>
        <v>0</v>
      </c>
      <c r="M44" s="70">
        <f t="shared" si="2"/>
        <v>0</v>
      </c>
      <c r="N44" s="70">
        <f t="shared" si="3"/>
        <v>0</v>
      </c>
      <c r="O44" s="71" t="str">
        <f t="shared" si="4"/>
        <v/>
      </c>
      <c r="P44" s="80" t="str">
        <f t="shared" si="5"/>
        <v/>
      </c>
      <c r="Q44" s="73"/>
      <c r="R44" s="74">
        <f>IF((AND(B44=B45,B44=B46,B44=J47)),4,IF(AND(B44=B45,B46=B44),3,IF(B44=B45,2,1)))</f>
        <v>4</v>
      </c>
      <c r="S44" s="75">
        <f>IF((AND(B44=B45,B44=B46,B44=J47)),V44,IF(AND(B44=B45,B46=B44),U44,IF(B44=B45,T44,N44)))</f>
        <v>0</v>
      </c>
      <c r="T44" s="76">
        <f t="shared" si="8"/>
        <v>0</v>
      </c>
      <c r="U44" s="76">
        <f t="shared" si="9"/>
        <v>0</v>
      </c>
      <c r="V44" s="76">
        <f t="shared" si="10"/>
        <v>0</v>
      </c>
      <c r="W44" s="74">
        <f>IF((AND(B44=B45,B44=B46,B44=J47)),Z44,IF(AND(B44=B45,B46=B44),Y44,IF(B44=B45,X44,(J44-AA44))))</f>
        <v>0</v>
      </c>
      <c r="X44" s="1">
        <f t="shared" si="12"/>
        <v>0</v>
      </c>
      <c r="Y44" s="1">
        <f t="shared" si="13"/>
        <v>0</v>
      </c>
      <c r="Z44" s="1">
        <f>(J44+J45+J46+I47)-(AA44+AA45+AA46+AA47)</f>
        <v>0</v>
      </c>
      <c r="AA44" s="1">
        <f t="shared" si="15"/>
        <v>0</v>
      </c>
      <c r="AB44" s="1">
        <f t="shared" si="16"/>
        <v>0</v>
      </c>
      <c r="AC44" s="1">
        <f t="shared" si="17"/>
        <v>0</v>
      </c>
      <c r="AD44" s="1">
        <f>IF(D44="",0,VLOOKUP(D44,Lookup!$W$144:$X$165,2,FALSE))</f>
        <v>0</v>
      </c>
      <c r="AE44" s="1">
        <f t="shared" si="18"/>
        <v>0</v>
      </c>
      <c r="AF44" s="1"/>
      <c r="AG44" s="1">
        <f t="shared" si="19"/>
        <v>0</v>
      </c>
      <c r="AH44" s="1" t="str">
        <f t="shared" si="20"/>
        <v>-</v>
      </c>
      <c r="AI44" s="1">
        <f t="shared" si="21"/>
        <v>0</v>
      </c>
      <c r="AJ44" s="1" t="str">
        <f>IF(ISERROR(VLOOKUP(G44,Lookup!$J$93:$M$111,4,FALSE)),"NS",VLOOKUP(G44,Lookup!$J$93:$M$111,4,FALSE))</f>
        <v>NS</v>
      </c>
      <c r="AK44" s="1" t="str">
        <f>IF(O44="",AK43,IF(R44=4,CONCATENATE(AJ44,H44,AJ45,H45,AJ46,H46,AJ47,G47),IF(R44=3,CONCATENATE(AJ44,H44,AJ45,H45,AJ46),IF(R44=2,CONCATENATE(AJ44,H44,AJ45,H45),"one"))))</f>
        <v>NSNSNSNS</v>
      </c>
      <c r="AL44" s="1">
        <f>IF(D44="",0,IF(D44="Portable Def",3,VLOOKUP(AH44,Lookup!$B$3:$F$69,MATCH(F44,Lookup!$B$3:$F$3,0),FALSE)))</f>
        <v>0</v>
      </c>
      <c r="AM44" s="1">
        <f>IF(D44="Naval",0,IF(G44="",0,VLOOKUP(G44,Lookup!$J$93:$L$111,MATCH(AI44,Lookup!$J$93:$L$93,0),FALSE)))</f>
        <v>0</v>
      </c>
      <c r="AN44" s="1">
        <f>IF(H44="",0,VLOOKUP(H44,Lookup!$M$113:$O$128,MATCH(AI44,Lookup!$M$113:$O$113,0),FALSE))</f>
        <v>0</v>
      </c>
      <c r="AO44" s="1">
        <f>(IF(I44="",0,IF(AND(H44="Hvy W",I44="Hvy W"),0,VLOOKUP(I44,Lookup!$P$130:$R$137,MATCH(AI44,Lookup!$M$113:$O$113,0),FALSE))))</f>
        <v>0</v>
      </c>
      <c r="AP44" s="1">
        <f t="shared" si="23"/>
        <v>0</v>
      </c>
      <c r="AQ44" s="1">
        <f t="shared" si="24"/>
        <v>0</v>
      </c>
      <c r="AR44" s="1">
        <f t="shared" si="25"/>
        <v>0</v>
      </c>
      <c r="AS44" s="9">
        <f t="shared" si="26"/>
        <v>0</v>
      </c>
      <c r="AT44" s="1">
        <f t="shared" si="28"/>
        <v>0</v>
      </c>
      <c r="AU44" s="1">
        <f t="shared" si="27"/>
        <v>0</v>
      </c>
      <c r="AV44" s="1"/>
      <c r="AW44" s="1"/>
      <c r="AX44" s="1"/>
      <c r="AY44" s="1"/>
      <c r="AZ44" s="1"/>
      <c r="BA44" s="1"/>
    </row>
    <row r="45" spans="1:53" ht="16.5" customHeight="1" x14ac:dyDescent="0.2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4"/>
      <c r="L45" s="69">
        <f t="shared" si="1"/>
        <v>0</v>
      </c>
      <c r="M45" s="70">
        <f t="shared" si="2"/>
        <v>0</v>
      </c>
      <c r="N45" s="70">
        <f t="shared" si="3"/>
        <v>0</v>
      </c>
      <c r="O45" s="71" t="str">
        <f t="shared" si="4"/>
        <v/>
      </c>
      <c r="P45" s="80" t="str">
        <f t="shared" si="5"/>
        <v/>
      </c>
      <c r="Q45" s="73"/>
      <c r="R45" s="74">
        <f>IF((AND(B45=B46,B45=J47,B45=J48)),4,IF(AND(B45=B46,J47=B45),3,IF(B45=B46,2,1)))</f>
        <v>4</v>
      </c>
      <c r="S45" s="75">
        <f>IF((AND(B45=B46,B45=J47,B45=J48)),V45,IF(AND(B45=B46,J47=B45),U45,IF(B45=B46,T45,N45)))</f>
        <v>0</v>
      </c>
      <c r="T45" s="76">
        <f t="shared" si="8"/>
        <v>0</v>
      </c>
      <c r="U45" s="76">
        <f t="shared" si="9"/>
        <v>0</v>
      </c>
      <c r="V45" s="76">
        <f t="shared" si="10"/>
        <v>0</v>
      </c>
      <c r="W45" s="74">
        <f>IF((AND(B45=B46,B45=J47,B45=J48)),Z45,IF(AND(B45=B46,J47=B45),Y45,IF(B45=B46,X45,(J45-AA45))))</f>
        <v>0</v>
      </c>
      <c r="X45" s="1">
        <f t="shared" si="12"/>
        <v>0</v>
      </c>
      <c r="Y45" s="1">
        <f>(J45+J46+I47)-(AA45+AA46+AA47)</f>
        <v>0</v>
      </c>
      <c r="Z45" s="1">
        <f>(J45+J46+I47+I48)-(AA45+AA46+AA47+AA48)</f>
        <v>0</v>
      </c>
      <c r="AA45" s="1">
        <f t="shared" si="15"/>
        <v>0</v>
      </c>
      <c r="AB45" s="1">
        <f t="shared" si="16"/>
        <v>0</v>
      </c>
      <c r="AC45" s="1">
        <f t="shared" si="17"/>
        <v>0</v>
      </c>
      <c r="AD45" s="1">
        <f>IF(D45="",0,VLOOKUP(D45,Lookup!$W$144:$X$165,2,FALSE))</f>
        <v>0</v>
      </c>
      <c r="AE45" s="1">
        <f t="shared" si="18"/>
        <v>0</v>
      </c>
      <c r="AF45" s="1"/>
      <c r="AG45" s="1">
        <f t="shared" si="19"/>
        <v>0</v>
      </c>
      <c r="AH45" s="1" t="str">
        <f t="shared" si="20"/>
        <v>-</v>
      </c>
      <c r="AI45" s="1">
        <f t="shared" si="21"/>
        <v>0</v>
      </c>
      <c r="AJ45" s="1" t="str">
        <f>IF(ISERROR(VLOOKUP(G45,Lookup!$J$93:$M$111,4,FALSE)),"NS",VLOOKUP(G45,Lookup!$J$93:$M$111,4,FALSE))</f>
        <v>NS</v>
      </c>
      <c r="AK45" s="1" t="str">
        <f>IF(O45="",AK44,IF(R45=4,CONCATENATE(AJ45,H45,AJ46,H46,AJ47,G47,AJ48,G48),IF(R45=3,CONCATENATE(AJ45,H45,AJ46,H46,AJ47),IF(R45=2,CONCATENATE(AJ45,H45,AJ46,H46),"one"))))</f>
        <v>NSNSNSNS</v>
      </c>
      <c r="AL45" s="1">
        <f>IF(D45="",0,IF(D45="Portable Def",3,VLOOKUP(AH45,Lookup!$B$3:$F$69,MATCH(F45,Lookup!$B$3:$F$3,0),FALSE)))</f>
        <v>0</v>
      </c>
      <c r="AM45" s="1">
        <f>IF(D45="Naval",0,IF(G45="",0,VLOOKUP(G45,Lookup!$J$93:$L$111,MATCH(AI45,Lookup!$J$93:$L$93,0),FALSE)))</f>
        <v>0</v>
      </c>
      <c r="AN45" s="1">
        <f>IF(H45="",0,VLOOKUP(H45,Lookup!$M$113:$O$128,MATCH(AI45,Lookup!$M$113:$O$113,0),FALSE))</f>
        <v>0</v>
      </c>
      <c r="AO45" s="1">
        <f>(IF(I45="",0,IF(AND(H45="Hvy W",I45="Hvy W"),0,VLOOKUP(I45,Lookup!$P$130:$R$137,MATCH(AI45,Lookup!$M$113:$O$113,0),FALSE))))</f>
        <v>0</v>
      </c>
      <c r="AP45" s="1">
        <f t="shared" si="23"/>
        <v>0</v>
      </c>
      <c r="AQ45" s="1">
        <f t="shared" si="24"/>
        <v>0</v>
      </c>
      <c r="AR45" s="1">
        <f t="shared" si="25"/>
        <v>0</v>
      </c>
      <c r="AS45" s="9">
        <f t="shared" si="26"/>
        <v>0</v>
      </c>
      <c r="AT45" s="1">
        <f t="shared" si="28"/>
        <v>0</v>
      </c>
      <c r="AU45" s="1">
        <f t="shared" si="27"/>
        <v>0</v>
      </c>
      <c r="AV45" s="1"/>
      <c r="AW45" s="1"/>
      <c r="AX45" s="1"/>
      <c r="AY45" s="1"/>
      <c r="AZ45" s="1"/>
      <c r="BA45" s="1"/>
    </row>
    <row r="46" spans="1:53" ht="16.5" customHeight="1" x14ac:dyDescent="0.2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>
        <f t="shared" si="1"/>
        <v>0</v>
      </c>
      <c r="M46" s="70">
        <f t="shared" si="2"/>
        <v>0</v>
      </c>
      <c r="N46" s="88">
        <f t="shared" si="3"/>
        <v>0</v>
      </c>
      <c r="O46" s="89" t="str">
        <f t="shared" si="4"/>
        <v/>
      </c>
      <c r="P46" s="90" t="str">
        <f t="shared" si="5"/>
        <v/>
      </c>
      <c r="Q46" s="73"/>
      <c r="R46" s="74">
        <f>IF((AND(B46=J47,B46=J48,B46=J49)),4,IF(AND(B46=J47,J48=B46),3,IF(B46=J47,2,1)))</f>
        <v>4</v>
      </c>
      <c r="S46" s="75">
        <f>IF((AND(B46=J47,B46=J48,B46=J49)),V46,IF(AND(B46=J47,J48=B46),U46,IF(B46=J47,T46,N46)))</f>
        <v>0</v>
      </c>
      <c r="T46" s="76">
        <f t="shared" si="8"/>
        <v>0</v>
      </c>
      <c r="U46" s="76">
        <f t="shared" si="9"/>
        <v>0</v>
      </c>
      <c r="V46" s="76">
        <f t="shared" si="10"/>
        <v>0</v>
      </c>
      <c r="W46" s="74">
        <f>IF((AND(B46=J47,B46=J48,B46=J49)),Z46,IF(AND(B46=J47,J48=B46),Y46,IF(B46=J47,X46,(J46-AA46))))</f>
        <v>0</v>
      </c>
      <c r="X46" s="1">
        <f>(J46+I47)-(AA46+AA47)</f>
        <v>0</v>
      </c>
      <c r="Y46" s="1">
        <f>(J46+I47+I48)-(AA46+AA47+AA48)</f>
        <v>0</v>
      </c>
      <c r="Z46" s="1">
        <f>(J46+I47+I48+I49)-(AA46+AA47+AA48+AA49)</f>
        <v>0</v>
      </c>
      <c r="AA46" s="1">
        <f t="shared" si="15"/>
        <v>0</v>
      </c>
      <c r="AB46" s="1">
        <f t="shared" si="16"/>
        <v>0</v>
      </c>
      <c r="AC46" s="1">
        <f t="shared" si="17"/>
        <v>0</v>
      </c>
      <c r="AD46" s="1">
        <f>IF(D46="",0,VLOOKUP(D46,Lookup!$W$144:$X$165,2,FALSE))</f>
        <v>0</v>
      </c>
      <c r="AE46" s="1">
        <f t="shared" si="18"/>
        <v>0</v>
      </c>
      <c r="AF46" s="1"/>
      <c r="AG46" s="1">
        <f t="shared" si="19"/>
        <v>0</v>
      </c>
      <c r="AH46" s="1" t="str">
        <f t="shared" si="20"/>
        <v>-</v>
      </c>
      <c r="AI46" s="1">
        <f t="shared" si="21"/>
        <v>0</v>
      </c>
      <c r="AJ46" s="1" t="str">
        <f>IF(ISERROR(VLOOKUP(G46,Lookup!$J$93:$M$111,4,FALSE)),"NS",VLOOKUP(G46,Lookup!$J$93:$M$111,4,FALSE))</f>
        <v>NS</v>
      </c>
      <c r="AK46" s="1" t="str">
        <f>IF(O46="",AK45,IF(R46=4,CONCATENATE(AJ46,H46,AJ47,G47,AJ48,G48,AJ49,G49),IF(R46=3,CONCATENATE(AJ46,H46,AJ47,G47,AJ48),IF(R46=2,CONCATENATE(AJ46,H46,AJ47,G47),"one"))))</f>
        <v>NSNSNSNS</v>
      </c>
      <c r="AL46" s="1">
        <f>IF(D46="",0,IF(D46="Portable Def",3,VLOOKUP(AH46,Lookup!$B$3:$F$69,MATCH(F46,Lookup!$B$3:$F$3,0),FALSE)))</f>
        <v>0</v>
      </c>
      <c r="AM46" s="1">
        <f>IF(D46="Naval",0,IF(G46="",0,VLOOKUP(G46,Lookup!$J$93:$L$111,MATCH(AI46,Lookup!$J$93:$L$93,0),FALSE)))</f>
        <v>0</v>
      </c>
      <c r="AN46" s="1">
        <f>IF(H46="",0,VLOOKUP(H46,Lookup!$M$113:$O$128,MATCH(AI46,Lookup!$M$113:$O$113,0),FALSE))</f>
        <v>0</v>
      </c>
      <c r="AO46" s="1">
        <f>(IF(I46="",0,IF(AND(H46="Hvy W",I46="Hvy W"),0,VLOOKUP(I46,Lookup!$P$130:$R$137,MATCH(AI46,Lookup!$M$113:$O$113,0),FALSE))))</f>
        <v>0</v>
      </c>
      <c r="AP46" s="1">
        <f t="shared" si="23"/>
        <v>0</v>
      </c>
      <c r="AQ46" s="1">
        <f t="shared" si="24"/>
        <v>0</v>
      </c>
      <c r="AR46" s="1">
        <f t="shared" si="25"/>
        <v>0</v>
      </c>
      <c r="AS46" s="9">
        <f t="shared" si="26"/>
        <v>0</v>
      </c>
      <c r="AT46" s="1">
        <f t="shared" si="28"/>
        <v>0</v>
      </c>
      <c r="AU46" s="1">
        <f t="shared" si="27"/>
        <v>0</v>
      </c>
      <c r="AV46" s="1"/>
      <c r="AW46" s="1"/>
      <c r="AX46" s="1"/>
      <c r="AY46" s="1"/>
      <c r="AZ46" s="1"/>
      <c r="BA46" s="1"/>
    </row>
    <row r="47" spans="1:53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1"/>
      <c r="AV49" s="1"/>
      <c r="AW49" s="1"/>
      <c r="AX49" s="1"/>
      <c r="AY49" s="1"/>
      <c r="AZ49" s="1"/>
      <c r="BA49" s="1"/>
    </row>
    <row r="50" spans="1:53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 t="s">
        <v>217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 t="s">
        <v>42</v>
      </c>
      <c r="Y54" s="2" t="s">
        <v>190</v>
      </c>
      <c r="Z54" s="2"/>
      <c r="AA54" s="2" t="s">
        <v>191</v>
      </c>
      <c r="AB54" s="2" t="s">
        <v>132</v>
      </c>
      <c r="AC54" s="2" t="s">
        <v>156</v>
      </c>
      <c r="AD54" s="2" t="s">
        <v>175</v>
      </c>
      <c r="AE54" s="2" t="s">
        <v>218</v>
      </c>
      <c r="AF54" s="2" t="s">
        <v>178</v>
      </c>
      <c r="AG54" s="2" t="s">
        <v>178</v>
      </c>
      <c r="AH54" s="2" t="s">
        <v>219</v>
      </c>
      <c r="AI54" s="2" t="s">
        <v>220</v>
      </c>
      <c r="AJ54" s="2" t="s">
        <v>221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 t="s">
        <v>181</v>
      </c>
      <c r="AG55" s="1" t="s">
        <v>179</v>
      </c>
      <c r="AH55" s="1" t="s">
        <v>222</v>
      </c>
      <c r="AI55" s="1" t="s">
        <v>223</v>
      </c>
      <c r="AJ55" s="1" t="s">
        <v>172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 t="s">
        <v>107</v>
      </c>
      <c r="Y56" s="1" t="s">
        <v>224</v>
      </c>
      <c r="Z56" s="1"/>
      <c r="AA56" s="1" t="s">
        <v>6</v>
      </c>
      <c r="AB56" s="1" t="s">
        <v>134</v>
      </c>
      <c r="AC56" s="1" t="s">
        <v>158</v>
      </c>
      <c r="AD56" s="1" t="s">
        <v>140</v>
      </c>
      <c r="AE56" s="1" t="s">
        <v>225</v>
      </c>
      <c r="AF56" s="1" t="s">
        <v>182</v>
      </c>
      <c r="AG56" s="1" t="s">
        <v>180</v>
      </c>
      <c r="AH56" s="1" t="s">
        <v>226</v>
      </c>
      <c r="AI56" s="1" t="s">
        <v>227</v>
      </c>
      <c r="AJ56" s="1" t="s">
        <v>228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 t="s">
        <v>109</v>
      </c>
      <c r="Y57" s="1" t="s">
        <v>229</v>
      </c>
      <c r="Z57" s="1"/>
      <c r="AA57" s="1" t="s">
        <v>7</v>
      </c>
      <c r="AB57" s="1" t="s">
        <v>137</v>
      </c>
      <c r="AC57" s="1" t="s">
        <v>160</v>
      </c>
      <c r="AD57" s="1" t="s">
        <v>166</v>
      </c>
      <c r="AE57" s="1" t="s">
        <v>230</v>
      </c>
      <c r="AF57" s="1" t="s">
        <v>183</v>
      </c>
      <c r="AG57" s="1"/>
      <c r="AH57" s="1" t="s">
        <v>231</v>
      </c>
      <c r="AI57" s="1" t="s">
        <v>232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 t="s">
        <v>110</v>
      </c>
      <c r="Y58" s="1" t="s">
        <v>233</v>
      </c>
      <c r="Z58" s="1"/>
      <c r="AA58" s="1" t="s">
        <v>8</v>
      </c>
      <c r="AB58" s="1" t="s">
        <v>138</v>
      </c>
      <c r="AC58" s="1" t="s">
        <v>140</v>
      </c>
      <c r="AD58" s="1" t="s">
        <v>167</v>
      </c>
      <c r="AE58" s="1" t="s">
        <v>234</v>
      </c>
      <c r="AF58" s="1"/>
      <c r="AG58" s="1"/>
      <c r="AH58" s="1" t="s">
        <v>235</v>
      </c>
      <c r="AI58" s="1" t="s">
        <v>236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 t="s">
        <v>111</v>
      </c>
      <c r="Y59" s="1" t="s">
        <v>237</v>
      </c>
      <c r="Z59" s="1"/>
      <c r="AA59" s="1" t="s">
        <v>9</v>
      </c>
      <c r="AB59" s="1" t="s">
        <v>139</v>
      </c>
      <c r="AC59" s="1" t="s">
        <v>164</v>
      </c>
      <c r="AD59" s="1" t="s">
        <v>164</v>
      </c>
      <c r="AE59" s="1"/>
      <c r="AF59" s="1"/>
      <c r="AG59" s="1"/>
      <c r="AH59" s="1" t="s">
        <v>238</v>
      </c>
      <c r="AI59" s="1" t="s">
        <v>239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 t="s">
        <v>113</v>
      </c>
      <c r="Y60" s="1"/>
      <c r="Z60" s="1"/>
      <c r="AA60" s="1"/>
      <c r="AB60" s="1" t="s">
        <v>140</v>
      </c>
      <c r="AC60" s="1" t="s">
        <v>166</v>
      </c>
      <c r="AD60" s="1" t="s">
        <v>174</v>
      </c>
      <c r="AE60" s="1" t="s">
        <v>240</v>
      </c>
      <c r="AF60" s="1"/>
      <c r="AG60" s="1"/>
      <c r="AH60" s="1" t="s">
        <v>241</v>
      </c>
      <c r="AI60" s="1" t="s">
        <v>242</v>
      </c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 t="s">
        <v>114</v>
      </c>
      <c r="Y61" s="1"/>
      <c r="Z61" s="1"/>
      <c r="AA61" s="1"/>
      <c r="AB61" s="1" t="s">
        <v>142</v>
      </c>
      <c r="AC61" s="1" t="s">
        <v>167</v>
      </c>
      <c r="AD61" s="1" t="s">
        <v>176</v>
      </c>
      <c r="AE61" s="1" t="s">
        <v>243</v>
      </c>
      <c r="AF61" s="1"/>
      <c r="AG61" s="1"/>
      <c r="AH61" s="1" t="s">
        <v>244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 t="s">
        <v>116</v>
      </c>
      <c r="Y62" s="1"/>
      <c r="Z62" s="1"/>
      <c r="AA62" s="1"/>
      <c r="AB62" s="1" t="s">
        <v>143</v>
      </c>
      <c r="AC62" s="1" t="s">
        <v>168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 t="s">
        <v>117</v>
      </c>
      <c r="Y63" s="1"/>
      <c r="Z63" s="1"/>
      <c r="AA63" s="1"/>
      <c r="AB63" s="1" t="s">
        <v>144</v>
      </c>
      <c r="AC63" s="1" t="s">
        <v>169</v>
      </c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 t="s">
        <v>118</v>
      </c>
      <c r="Y64" s="1"/>
      <c r="Z64" s="1"/>
      <c r="AA64" s="1"/>
      <c r="AB64" s="1" t="s">
        <v>146</v>
      </c>
      <c r="AC64" s="1" t="s">
        <v>170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 t="s">
        <v>119</v>
      </c>
      <c r="Y65" s="1"/>
      <c r="Z65" s="1"/>
      <c r="AA65" s="1"/>
      <c r="AB65" s="1" t="s">
        <v>147</v>
      </c>
      <c r="AC65" s="1" t="s">
        <v>171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 t="s">
        <v>120</v>
      </c>
      <c r="Y66" s="1"/>
      <c r="Z66" s="1"/>
      <c r="AA66" s="1"/>
      <c r="AB66" s="1" t="s">
        <v>148</v>
      </c>
      <c r="AC66" s="1" t="s">
        <v>149</v>
      </c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 t="s">
        <v>121</v>
      </c>
      <c r="Y67" s="1"/>
      <c r="Z67" s="1"/>
      <c r="AA67" s="1"/>
      <c r="AB67" s="1" t="s">
        <v>126</v>
      </c>
      <c r="AC67" s="1" t="s">
        <v>173</v>
      </c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 t="s">
        <v>122</v>
      </c>
      <c r="Y68" s="1"/>
      <c r="Z68" s="1"/>
      <c r="AA68" s="1"/>
      <c r="AB68" s="1" t="s">
        <v>149</v>
      </c>
      <c r="AC68" s="1" t="s">
        <v>174</v>
      </c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 t="s">
        <v>123</v>
      </c>
      <c r="Y69" s="1"/>
      <c r="Z69" s="1"/>
      <c r="AA69" s="1"/>
      <c r="AB69" s="1" t="s">
        <v>150</v>
      </c>
      <c r="AC69" s="1" t="s">
        <v>126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 t="s">
        <v>125</v>
      </c>
      <c r="Y70" s="1"/>
      <c r="Z70" s="1"/>
      <c r="AA70" s="1"/>
      <c r="AB70" s="1" t="s">
        <v>152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 t="s">
        <v>126</v>
      </c>
      <c r="Y71" s="1"/>
      <c r="Z71" s="1"/>
      <c r="AA71" s="1"/>
      <c r="AB71" s="1" t="s">
        <v>153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 t="s">
        <v>131</v>
      </c>
      <c r="Y72" s="1"/>
      <c r="Z72" s="1"/>
      <c r="AA72" s="1"/>
      <c r="AB72" s="1" t="s">
        <v>105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 t="s">
        <v>127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 t="s">
        <v>128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 t="s">
        <v>130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 t="s">
        <v>105</v>
      </c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 t="s">
        <v>224</v>
      </c>
      <c r="AI77" s="1" t="s">
        <v>229</v>
      </c>
      <c r="AJ77" s="1" t="s">
        <v>233</v>
      </c>
      <c r="AK77" s="1" t="s">
        <v>237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 t="s">
        <v>107</v>
      </c>
      <c r="AH78" s="1" t="str">
        <f t="shared" ref="AH78:AH94" si="29">CONCATENATE($AH$77,"-",AG78)</f>
        <v>Fully Armd-Gendarme</v>
      </c>
      <c r="AI78" s="1" t="str">
        <f t="shared" ref="AI78:AI94" si="30">CONCATENATE($AI$77,"-",AG78)</f>
        <v>Hvy Armd-Gendarme</v>
      </c>
      <c r="AJ78" s="1" t="str">
        <f t="shared" ref="AJ78:AJ94" si="31">CONCATENATE($AJ$77,"-",AG78)</f>
        <v>Armoured-Gendarme</v>
      </c>
      <c r="AK78" s="1" t="str">
        <f t="shared" ref="AK78:AK94" si="32">CONCATENATE($AK$77,"-",AG78)</f>
        <v>Unarmoured-Gendarme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 t="s">
        <v>109</v>
      </c>
      <c r="AH79" s="1" t="str">
        <f t="shared" si="29"/>
        <v>Fully Armd-Horse</v>
      </c>
      <c r="AI79" s="1" t="str">
        <f t="shared" si="30"/>
        <v>Hvy Armd-Horse</v>
      </c>
      <c r="AJ79" s="1" t="str">
        <f t="shared" si="31"/>
        <v>Armoured-Horse</v>
      </c>
      <c r="AK79" s="1" t="str">
        <f t="shared" si="32"/>
        <v>Unarmoured-Horse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 t="s">
        <v>110</v>
      </c>
      <c r="AH80" s="1" t="str">
        <f t="shared" si="29"/>
        <v>Fully Armd-Dt Horse</v>
      </c>
      <c r="AI80" s="1" t="str">
        <f t="shared" si="30"/>
        <v>Hvy Armd-Dt Horse</v>
      </c>
      <c r="AJ80" s="1" t="str">
        <f t="shared" si="31"/>
        <v>Armoured-Dt Horse</v>
      </c>
      <c r="AK80" s="1" t="str">
        <f t="shared" si="32"/>
        <v>Unarmoured-Dt Horse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 t="s">
        <v>111</v>
      </c>
      <c r="AH81" s="1" t="str">
        <f t="shared" si="29"/>
        <v>Fully Armd-Dragoon</v>
      </c>
      <c r="AI81" s="1" t="str">
        <f t="shared" si="30"/>
        <v>Hvy Armd-Dragoon</v>
      </c>
      <c r="AJ81" s="1" t="str">
        <f t="shared" si="31"/>
        <v>Armoured-Dragoon</v>
      </c>
      <c r="AK81" s="1" t="str">
        <f t="shared" si="32"/>
        <v>Unarmoured-Dragoon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 t="s">
        <v>113</v>
      </c>
      <c r="AH82" s="1" t="str">
        <f t="shared" si="29"/>
        <v>Fully Armd-Cavalier</v>
      </c>
      <c r="AI82" s="1" t="str">
        <f t="shared" si="30"/>
        <v>Hvy Armd-Cavalier</v>
      </c>
      <c r="AJ82" s="1" t="str">
        <f t="shared" si="31"/>
        <v>Armoured-Cavalier</v>
      </c>
      <c r="AK82" s="1" t="str">
        <f t="shared" si="32"/>
        <v>Unarmoured-Cavalier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 t="s">
        <v>114</v>
      </c>
      <c r="AH83" s="1" t="str">
        <f t="shared" si="29"/>
        <v>Fully Armd-Cavalry</v>
      </c>
      <c r="AI83" s="1" t="str">
        <f t="shared" si="30"/>
        <v>Hvy Armd-Cavalry</v>
      </c>
      <c r="AJ83" s="1" t="str">
        <f t="shared" si="31"/>
        <v>Armoured-Cavalry</v>
      </c>
      <c r="AK83" s="1" t="str">
        <f t="shared" si="32"/>
        <v>Unarmoured-Cavalry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 t="s">
        <v>116</v>
      </c>
      <c r="AH84" s="1" t="str">
        <f t="shared" si="29"/>
        <v>Fully Armd-LH</v>
      </c>
      <c r="AI84" s="1" t="str">
        <f t="shared" si="30"/>
        <v>Hvy Armd-LH</v>
      </c>
      <c r="AJ84" s="1" t="str">
        <f t="shared" si="31"/>
        <v>Armoured-LH</v>
      </c>
      <c r="AK84" s="1" t="str">
        <f t="shared" si="32"/>
        <v>Unarmoured-LH</v>
      </c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 t="s">
        <v>117</v>
      </c>
      <c r="AH85" s="1" t="str">
        <f t="shared" si="29"/>
        <v>Fully Armd-HF</v>
      </c>
      <c r="AI85" s="1" t="str">
        <f t="shared" si="30"/>
        <v>Hvy Armd-HF</v>
      </c>
      <c r="AJ85" s="1" t="str">
        <f t="shared" si="31"/>
        <v>Armoured-HF</v>
      </c>
      <c r="AK85" s="1" t="str">
        <f t="shared" si="32"/>
        <v>Unarmoured-HF</v>
      </c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 t="s">
        <v>119</v>
      </c>
      <c r="AH86" s="1" t="str">
        <f t="shared" si="29"/>
        <v>Fully Armd-MF</v>
      </c>
      <c r="AI86" s="1" t="str">
        <f t="shared" si="30"/>
        <v>Hvy Armd-MF</v>
      </c>
      <c r="AJ86" s="1" t="str">
        <f t="shared" si="31"/>
        <v>Armoured-MF</v>
      </c>
      <c r="AK86" s="1" t="str">
        <f t="shared" si="32"/>
        <v>Unarmoured-MF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 t="s">
        <v>120</v>
      </c>
      <c r="AH87" s="1" t="str">
        <f t="shared" si="29"/>
        <v>Fully Armd-LF</v>
      </c>
      <c r="AI87" s="1" t="str">
        <f t="shared" si="30"/>
        <v>Hvy Armd-LF</v>
      </c>
      <c r="AJ87" s="1" t="str">
        <f t="shared" si="31"/>
        <v>Armoured-LF</v>
      </c>
      <c r="AK87" s="1" t="str">
        <f t="shared" si="32"/>
        <v>Unarmoured-LF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 t="s">
        <v>122</v>
      </c>
      <c r="AH88" s="1" t="str">
        <f t="shared" si="29"/>
        <v>Fully Armd-Artillery</v>
      </c>
      <c r="AI88" s="1" t="str">
        <f t="shared" si="30"/>
        <v>Hvy Armd-Artillery</v>
      </c>
      <c r="AJ88" s="1" t="str">
        <f t="shared" si="31"/>
        <v>Armoured-Artillery</v>
      </c>
      <c r="AK88" s="1" t="str">
        <f t="shared" si="32"/>
        <v>Unarmoured-Artillery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 t="s">
        <v>123</v>
      </c>
      <c r="AH89" s="1" t="str">
        <f t="shared" si="29"/>
        <v>Fully Armd-Battle Wg</v>
      </c>
      <c r="AI89" s="1" t="str">
        <f t="shared" si="30"/>
        <v>Hvy Armd-Battle Wg</v>
      </c>
      <c r="AJ89" s="1" t="str">
        <f t="shared" si="31"/>
        <v>Armoured-Battle Wg</v>
      </c>
      <c r="AK89" s="1" t="str">
        <f t="shared" si="32"/>
        <v>Unarmoured-Battle Wg</v>
      </c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 t="s">
        <v>126</v>
      </c>
      <c r="AH90" s="1" t="str">
        <f t="shared" si="29"/>
        <v>Fully Armd-Reg Gun</v>
      </c>
      <c r="AI90" s="1" t="str">
        <f t="shared" si="30"/>
        <v>Hvy Armd-Reg Gun</v>
      </c>
      <c r="AJ90" s="1" t="str">
        <f t="shared" si="31"/>
        <v>Armoured-Reg Gun</v>
      </c>
      <c r="AK90" s="1" t="str">
        <f t="shared" si="32"/>
        <v>Unarmoured-Reg Gun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 t="s">
        <v>127</v>
      </c>
      <c r="AH91" s="1" t="str">
        <f t="shared" si="29"/>
        <v>Fully Armd-Camelry</v>
      </c>
      <c r="AI91" s="1" t="str">
        <f t="shared" si="30"/>
        <v>Hvy Armd-Camelry</v>
      </c>
      <c r="AJ91" s="1" t="str">
        <f t="shared" si="31"/>
        <v>Armoured-Camelry</v>
      </c>
      <c r="AK91" s="1" t="str">
        <f t="shared" si="32"/>
        <v>Unarmoured-Camelry</v>
      </c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 t="s">
        <v>128</v>
      </c>
      <c r="AH92" s="1" t="str">
        <f t="shared" si="29"/>
        <v>Fully Armd-Elephant</v>
      </c>
      <c r="AI92" s="1" t="str">
        <f t="shared" si="30"/>
        <v>Hvy Armd-Elephant</v>
      </c>
      <c r="AJ92" s="1" t="str">
        <f t="shared" si="31"/>
        <v>Armoured-Elephant</v>
      </c>
      <c r="AK92" s="1" t="str">
        <f t="shared" si="32"/>
        <v>Unarmoured-Elephant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 t="s">
        <v>129</v>
      </c>
      <c r="AH93" s="1" t="str">
        <f t="shared" si="29"/>
        <v xml:space="preserve">Fully Armd-Naval </v>
      </c>
      <c r="AI93" s="1" t="str">
        <f t="shared" si="30"/>
        <v xml:space="preserve">Hvy Armd-Naval </v>
      </c>
      <c r="AJ93" s="1" t="str">
        <f t="shared" si="31"/>
        <v xml:space="preserve">Armoured-Naval </v>
      </c>
      <c r="AK93" s="1" t="str">
        <f t="shared" si="32"/>
        <v xml:space="preserve">Unarmoured-Naval 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 t="s">
        <v>130</v>
      </c>
      <c r="AH94" s="1" t="str">
        <f t="shared" si="29"/>
        <v>Fully Armd-Mob</v>
      </c>
      <c r="AI94" s="1" t="str">
        <f t="shared" si="30"/>
        <v>Hvy Armd-Mob</v>
      </c>
      <c r="AJ94" s="1" t="str">
        <f t="shared" si="31"/>
        <v>Armoured-Mob</v>
      </c>
      <c r="AK94" s="1" t="str">
        <f t="shared" si="32"/>
        <v>Unarmoured-Mob</v>
      </c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5.75" customHeight="1" x14ac:dyDescent="0.2"/>
    <row r="196" spans="1:53" ht="15.75" customHeight="1" x14ac:dyDescent="0.2"/>
    <row r="197" spans="1:53" ht="15.75" customHeight="1" x14ac:dyDescent="0.2"/>
    <row r="198" spans="1:53" ht="15.75" customHeight="1" x14ac:dyDescent="0.2"/>
    <row r="199" spans="1:53" ht="15.75" customHeight="1" x14ac:dyDescent="0.2"/>
    <row r="200" spans="1:53" ht="15.75" customHeight="1" x14ac:dyDescent="0.2"/>
    <row r="201" spans="1:53" ht="15.75" customHeight="1" x14ac:dyDescent="0.2"/>
    <row r="202" spans="1:53" ht="15.75" customHeight="1" x14ac:dyDescent="0.2"/>
    <row r="203" spans="1:53" ht="15.75" customHeight="1" x14ac:dyDescent="0.2"/>
    <row r="204" spans="1:53" ht="15.75" customHeight="1" x14ac:dyDescent="0.2"/>
    <row r="205" spans="1:53" ht="15.75" customHeight="1" x14ac:dyDescent="0.2"/>
    <row r="206" spans="1:53" ht="15.75" customHeight="1" x14ac:dyDescent="0.2"/>
    <row r="207" spans="1:53" ht="15.75" customHeight="1" x14ac:dyDescent="0.2"/>
    <row r="208" spans="1:53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H8:I8"/>
    <mergeCell ref="B3:E3"/>
    <mergeCell ref="B2:E2"/>
    <mergeCell ref="G4:I4"/>
    <mergeCell ref="G3:H3"/>
    <mergeCell ref="B4:E4"/>
    <mergeCell ref="B5:E5"/>
    <mergeCell ref="C7:F7"/>
    <mergeCell ref="E6:F6"/>
  </mergeCells>
  <conditionalFormatting sqref="P10:P38">
    <cfRule type="expression" dxfId="10" priority="1" stopIfTrue="1">
      <formula>B10&lt;&gt;B9</formula>
    </cfRule>
  </conditionalFormatting>
  <conditionalFormatting sqref="P39:P46">
    <cfRule type="expression" dxfId="9" priority="2" stopIfTrue="1">
      <formula>B39&lt;&gt;B35</formula>
    </cfRule>
  </conditionalFormatting>
  <conditionalFormatting sqref="W10:W46">
    <cfRule type="expression" dxfId="8" priority="3" stopIfTrue="1">
      <formula>B10&lt;&gt;B9</formula>
    </cfRule>
  </conditionalFormatting>
  <conditionalFormatting sqref="S10:S46">
    <cfRule type="expression" dxfId="7" priority="4" stopIfTrue="1">
      <formula>B10&lt;&gt;B9</formula>
    </cfRule>
  </conditionalFormatting>
  <conditionalFormatting sqref="R10:R46">
    <cfRule type="expression" dxfId="6" priority="5" stopIfTrue="1">
      <formula>B10&lt;&gt;B9</formula>
    </cfRule>
  </conditionalFormatting>
  <conditionalFormatting sqref="O10:O38">
    <cfRule type="expression" dxfId="5" priority="6" stopIfTrue="1">
      <formula>B10&lt;&gt;B9</formula>
    </cfRule>
  </conditionalFormatting>
  <conditionalFormatting sqref="O39:O46">
    <cfRule type="expression" dxfId="4" priority="7" stopIfTrue="1">
      <formula>B39&lt;&gt;B35</formula>
    </cfRule>
  </conditionalFormatting>
  <conditionalFormatting sqref="A16:A46">
    <cfRule type="expression" dxfId="3" priority="8" stopIfTrue="1">
      <formula>AC16=1</formula>
    </cfRule>
  </conditionalFormatting>
  <conditionalFormatting sqref="B10:B45">
    <cfRule type="expression" dxfId="2" priority="9" stopIfTrue="1">
      <formula>AC10=1</formula>
    </cfRule>
  </conditionalFormatting>
  <conditionalFormatting sqref="B46">
    <cfRule type="expression" dxfId="1" priority="10" stopIfTrue="1">
      <formula>$AC$46=1</formula>
    </cfRule>
  </conditionalFormatting>
  <conditionalFormatting sqref="A10:A15">
    <cfRule type="expression" dxfId="0" priority="11" stopIfTrue="1">
      <formula>AB10=1</formula>
    </cfRule>
  </conditionalFormatting>
  <dataValidations count="13">
    <dataValidation type="list" allowBlank="1" showErrorMessage="1" sqref="L3:L6">
      <formula1>$AF$55:$AF$58</formula1>
    </dataValidation>
    <dataValidation type="list" allowBlank="1" showErrorMessage="1" sqref="F10:F46">
      <formula1>$AA$55:$AA$59</formula1>
    </dataValidation>
    <dataValidation type="list" allowBlank="1" showErrorMessage="1" sqref="K10:K46">
      <formula1>$AE$55:$AE$62</formula1>
    </dataValidation>
    <dataValidation type="list" allowBlank="1" showErrorMessage="1" sqref="G10:G46">
      <formula1>$AB$55:$AB$72</formula1>
    </dataValidation>
    <dataValidation type="list" allowBlank="1" showErrorMessage="1" sqref="D10:D46">
      <formula1>$X$55:$X$76</formula1>
    </dataValidation>
    <dataValidation type="list" allowBlank="1" showErrorMessage="1" sqref="G3">
      <formula1>$AI$55:$AI$61</formula1>
    </dataValidation>
    <dataValidation type="list" allowBlank="1" showErrorMessage="1" sqref="E10:E46">
      <formula1>$Y$55:$Y$59</formula1>
    </dataValidation>
    <dataValidation type="list" allowBlank="1" showErrorMessage="1" sqref="K4:K6">
      <formula1>$AG$55:$AG$57</formula1>
    </dataValidation>
    <dataValidation type="list" allowBlank="1" showErrorMessage="1" sqref="C8:F8">
      <formula1>$AH$55:$AH$62</formula1>
    </dataValidation>
    <dataValidation type="list" allowBlank="1" showErrorMessage="1" sqref="H8">
      <formula1>$AB$7:$AB$8</formula1>
    </dataValidation>
    <dataValidation type="list" allowBlank="1" showErrorMessage="1" sqref="I10:I46">
      <formula1>$AD$55:$AD$61</formula1>
    </dataValidation>
    <dataValidation type="list" allowBlank="1" showErrorMessage="1" sqref="G7">
      <formula1>$AJ$55:$AJ$57</formula1>
    </dataValidation>
    <dataValidation type="list" allowBlank="1" showErrorMessage="1" sqref="H10:H46">
      <formula1>$AC$55:$AC$69</formula1>
    </dataValidation>
  </dataValidations>
  <pageMargins left="0.7" right="0.7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opLeftCell="A16" workbookViewId="0">
      <selection activeCell="A21" sqref="A21"/>
    </sheetView>
  </sheetViews>
  <sheetFormatPr defaultColWidth="14.42578125" defaultRowHeight="15" customHeight="1" x14ac:dyDescent="0.2"/>
  <cols>
    <col min="1" max="12" width="8.7109375" customWidth="1"/>
  </cols>
  <sheetData>
    <row r="1" spans="1:12" ht="12.75" customHeight="1" x14ac:dyDescent="0.2">
      <c r="A1" s="2" t="s">
        <v>0</v>
      </c>
    </row>
    <row r="2" spans="1:12" ht="23.25" customHeight="1" x14ac:dyDescent="0.2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9" customHeight="1" x14ac:dyDescent="0.2">
      <c r="A3" s="114" t="s">
        <v>2</v>
      </c>
      <c r="B3" s="115"/>
      <c r="C3" s="115"/>
      <c r="D3" s="115"/>
      <c r="E3" s="115"/>
      <c r="F3" s="115"/>
      <c r="G3" s="115"/>
      <c r="H3" s="116"/>
      <c r="I3" s="11"/>
      <c r="J3" s="11"/>
      <c r="K3" s="11"/>
      <c r="L3" s="11"/>
    </row>
    <row r="4" spans="1:12" ht="39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 customHeight="1" x14ac:dyDescent="0.2">
      <c r="A5" s="1" t="s">
        <v>21</v>
      </c>
    </row>
    <row r="6" spans="1:12" ht="12.75" customHeight="1" x14ac:dyDescent="0.2"/>
    <row r="7" spans="1:12" ht="12.75" customHeight="1" x14ac:dyDescent="0.2">
      <c r="A7" s="1" t="s">
        <v>22</v>
      </c>
    </row>
    <row r="8" spans="1:12" ht="12.75" customHeight="1" x14ac:dyDescent="0.2">
      <c r="A8" s="1" t="s">
        <v>24</v>
      </c>
    </row>
    <row r="9" spans="1:12" ht="17.25" customHeight="1" x14ac:dyDescent="0.2">
      <c r="A9" s="1" t="s">
        <v>25</v>
      </c>
    </row>
    <row r="10" spans="1:12" ht="12.75" customHeight="1" x14ac:dyDescent="0.2"/>
    <row r="11" spans="1:12" ht="12.75" customHeight="1" x14ac:dyDescent="0.2">
      <c r="A11" s="2" t="s">
        <v>27</v>
      </c>
      <c r="B11" s="2"/>
    </row>
    <row r="12" spans="1:12" ht="23.25" customHeight="1" x14ac:dyDescent="0.2">
      <c r="A12" s="1" t="s">
        <v>28</v>
      </c>
    </row>
    <row r="13" spans="1:12" ht="16.5" customHeight="1" x14ac:dyDescent="0.2">
      <c r="A13" s="1" t="s">
        <v>29</v>
      </c>
    </row>
    <row r="14" spans="1:12" ht="16.5" customHeight="1" x14ac:dyDescent="0.2">
      <c r="A14" s="1" t="s">
        <v>30</v>
      </c>
    </row>
    <row r="15" spans="1:12" ht="16.5" customHeight="1" x14ac:dyDescent="0.2">
      <c r="A15" s="2" t="s">
        <v>31</v>
      </c>
    </row>
    <row r="16" spans="1:12" ht="28.5" customHeight="1" x14ac:dyDescent="0.2">
      <c r="A16" s="112" t="s">
        <v>32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1:2" ht="24.75" customHeight="1" x14ac:dyDescent="0.2">
      <c r="A17" s="1" t="s">
        <v>37</v>
      </c>
    </row>
    <row r="18" spans="1:2" ht="21.75" customHeight="1" x14ac:dyDescent="0.2">
      <c r="A18" s="1" t="s">
        <v>38</v>
      </c>
    </row>
    <row r="19" spans="1:2" ht="16.5" customHeight="1" x14ac:dyDescent="0.2">
      <c r="A19" s="17"/>
      <c r="B19" s="17"/>
    </row>
    <row r="20" spans="1:2" ht="12.75" customHeight="1" x14ac:dyDescent="0.2">
      <c r="A20" s="119" t="s">
        <v>245</v>
      </c>
      <c r="B20" s="119" t="s">
        <v>246</v>
      </c>
    </row>
    <row r="21" spans="1:2" ht="12.75" customHeight="1" x14ac:dyDescent="0.2"/>
    <row r="22" spans="1:2" ht="12.75" customHeight="1" x14ac:dyDescent="0.2">
      <c r="A22" s="2"/>
      <c r="B22" s="1"/>
    </row>
    <row r="23" spans="1:2" ht="12.75" customHeight="1" x14ac:dyDescent="0.2">
      <c r="B23" s="1"/>
    </row>
    <row r="24" spans="1:2" ht="12.75" customHeight="1" x14ac:dyDescent="0.2"/>
    <row r="25" spans="1:2" ht="12.75" customHeight="1" x14ac:dyDescent="0.2">
      <c r="A25" s="1"/>
      <c r="B25" s="1"/>
    </row>
    <row r="26" spans="1:2" ht="12.75" customHeight="1" x14ac:dyDescent="0.2"/>
    <row r="27" spans="1:2" ht="12.75" customHeight="1" x14ac:dyDescent="0.2">
      <c r="A27" s="1"/>
      <c r="B27" s="1"/>
    </row>
    <row r="28" spans="1:2" ht="12.75" customHeight="1" x14ac:dyDescent="0.2"/>
    <row r="29" spans="1:2" ht="12.75" customHeight="1" x14ac:dyDescent="0.2">
      <c r="A29" s="1"/>
      <c r="B29" s="1"/>
    </row>
    <row r="30" spans="1:2" ht="12.75" customHeight="1" x14ac:dyDescent="0.2"/>
    <row r="31" spans="1:2" ht="12.75" customHeight="1" x14ac:dyDescent="0.2">
      <c r="A31" s="1"/>
      <c r="B31" s="1"/>
    </row>
    <row r="32" spans="1:2" ht="12.75" customHeight="1" x14ac:dyDescent="0.2"/>
    <row r="33" spans="1:2" ht="12.75" customHeight="1" x14ac:dyDescent="0.2">
      <c r="A33" s="1"/>
      <c r="B33" s="1"/>
    </row>
    <row r="34" spans="1:2" ht="12.75" customHeight="1" x14ac:dyDescent="0.2">
      <c r="B34" s="1"/>
    </row>
    <row r="35" spans="1:2" ht="12.75" customHeight="1" x14ac:dyDescent="0.2"/>
    <row r="36" spans="1:2" ht="12.75" customHeight="1" x14ac:dyDescent="0.2">
      <c r="A36" s="1"/>
      <c r="B36" s="1"/>
    </row>
    <row r="37" spans="1:2" ht="12.75" customHeight="1" x14ac:dyDescent="0.2">
      <c r="B37" s="1"/>
    </row>
    <row r="38" spans="1:2" ht="12.75" customHeight="1" x14ac:dyDescent="0.2">
      <c r="A38" s="1"/>
      <c r="B38" s="1"/>
    </row>
    <row r="39" spans="1:2" ht="12.75" customHeight="1" x14ac:dyDescent="0.2">
      <c r="B39" s="1"/>
    </row>
    <row r="40" spans="1:2" ht="16.5" customHeight="1" x14ac:dyDescent="0.2">
      <c r="A40" s="1"/>
      <c r="B40" s="1"/>
    </row>
    <row r="41" spans="1:2" ht="12.75" customHeight="1" x14ac:dyDescent="0.2"/>
    <row r="42" spans="1:2" ht="12.75" customHeight="1" x14ac:dyDescent="0.2">
      <c r="A42" s="1"/>
      <c r="B42" s="1"/>
    </row>
    <row r="43" spans="1:2" ht="12.75" customHeight="1" x14ac:dyDescent="0.2"/>
    <row r="44" spans="1:2" ht="12.75" customHeight="1" x14ac:dyDescent="0.2">
      <c r="A44" s="1"/>
      <c r="B44" s="1"/>
    </row>
    <row r="45" spans="1:2" ht="12.75" customHeight="1" x14ac:dyDescent="0.2"/>
    <row r="46" spans="1:2" ht="12.75" customHeight="1" x14ac:dyDescent="0.2">
      <c r="A46" s="1"/>
      <c r="B46" s="1"/>
    </row>
    <row r="47" spans="1:2" ht="12.75" customHeight="1" x14ac:dyDescent="0.2">
      <c r="B47" s="1"/>
    </row>
    <row r="48" spans="1:2" ht="12.75" customHeight="1" x14ac:dyDescent="0.2">
      <c r="A48" s="1"/>
      <c r="B48" s="1"/>
    </row>
    <row r="49" spans="1:2" ht="12.75" customHeight="1" x14ac:dyDescent="0.2"/>
    <row r="50" spans="1:2" ht="12.75" customHeight="1" x14ac:dyDescent="0.2">
      <c r="A50" s="1"/>
      <c r="B50" s="2"/>
    </row>
    <row r="51" spans="1:2" ht="12.75" customHeight="1" x14ac:dyDescent="0.2"/>
    <row r="52" spans="1:2" ht="12.75" customHeight="1" x14ac:dyDescent="0.2">
      <c r="A52" s="1"/>
      <c r="B52" s="1"/>
    </row>
    <row r="53" spans="1:2" ht="12.75" customHeight="1" x14ac:dyDescent="0.2">
      <c r="B53" s="1"/>
    </row>
    <row r="54" spans="1:2" ht="12.75" customHeight="1" x14ac:dyDescent="0.2"/>
    <row r="55" spans="1:2" ht="12.75" customHeight="1" x14ac:dyDescent="0.2">
      <c r="A55" s="1"/>
      <c r="B55" s="1"/>
    </row>
    <row r="56" spans="1:2" ht="12.75" customHeight="1" x14ac:dyDescent="0.2"/>
    <row r="57" spans="1:2" ht="12.75" customHeight="1" x14ac:dyDescent="0.2">
      <c r="A57" s="1"/>
      <c r="B57" s="1"/>
    </row>
    <row r="58" spans="1:2" ht="12.75" customHeight="1" x14ac:dyDescent="0.2"/>
    <row r="59" spans="1:2" ht="12.75" customHeight="1" x14ac:dyDescent="0.2">
      <c r="A59" s="21"/>
    </row>
    <row r="60" spans="1:2" ht="12.75" customHeight="1" x14ac:dyDescent="0.2"/>
    <row r="61" spans="1:2" ht="12.75" customHeight="1" x14ac:dyDescent="0.2"/>
    <row r="62" spans="1:2" ht="12.75" customHeight="1" x14ac:dyDescent="0.2"/>
    <row r="63" spans="1:2" ht="12.75" customHeight="1" x14ac:dyDescent="0.2"/>
    <row r="64" spans="1: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6:L16"/>
    <mergeCell ref="A3:H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0.42578125" customWidth="1"/>
    <col min="2" max="2" width="20.42578125" hidden="1" customWidth="1"/>
    <col min="3" max="3" width="4.7109375" hidden="1" customWidth="1"/>
    <col min="4" max="4" width="8" hidden="1" customWidth="1"/>
    <col min="5" max="5" width="8.140625" hidden="1" customWidth="1"/>
    <col min="6" max="6" width="4.85546875" hidden="1" customWidth="1"/>
    <col min="7" max="7" width="4.5703125" hidden="1" customWidth="1"/>
    <col min="8" max="8" width="9.5703125" hidden="1" customWidth="1"/>
    <col min="9" max="9" width="4.7109375" hidden="1" customWidth="1"/>
    <col min="10" max="10" width="9.28515625" hidden="1" customWidth="1"/>
    <col min="11" max="11" width="4.7109375" hidden="1" customWidth="1"/>
    <col min="12" max="12" width="4.140625" hidden="1" customWidth="1"/>
    <col min="13" max="13" width="13.140625" hidden="1" customWidth="1"/>
    <col min="14" max="14" width="4.7109375" hidden="1" customWidth="1"/>
    <col min="15" max="15" width="4.140625" hidden="1" customWidth="1"/>
    <col min="16" max="16" width="7.85546875" hidden="1" customWidth="1"/>
    <col min="17" max="17" width="4.7109375" hidden="1" customWidth="1"/>
    <col min="18" max="18" width="4.140625" hidden="1" customWidth="1"/>
    <col min="19" max="19" width="7.85546875" hidden="1" customWidth="1"/>
    <col min="20" max="20" width="5" hidden="1" customWidth="1"/>
    <col min="21" max="21" width="4.28515625" hidden="1" customWidth="1"/>
    <col min="22" max="22" width="4.140625" hidden="1" customWidth="1"/>
    <col min="23" max="23" width="9.42578125" hidden="1" customWidth="1"/>
    <col min="24" max="24" width="6.5703125" hidden="1" customWidth="1"/>
    <col min="25" max="25" width="3.42578125" hidden="1" customWidth="1"/>
    <col min="26" max="26" width="1.7109375" customWidth="1"/>
  </cols>
  <sheetData>
    <row r="1" spans="1:26" ht="12.75" customHeight="1" x14ac:dyDescent="0.2">
      <c r="A1" s="1"/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5">
        <v>43095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/>
      <c r="H3" s="1"/>
      <c r="I3" s="1" t="s">
        <v>6</v>
      </c>
      <c r="J3" s="1" t="s">
        <v>7</v>
      </c>
      <c r="K3" s="1" t="s">
        <v>8</v>
      </c>
      <c r="L3" s="1" t="s">
        <v>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8" t="s">
        <v>10</v>
      </c>
      <c r="C4" s="9">
        <v>20</v>
      </c>
      <c r="D4" s="9">
        <v>16</v>
      </c>
      <c r="E4" s="1">
        <v>11</v>
      </c>
      <c r="F4" s="1">
        <v>8</v>
      </c>
      <c r="G4" s="1"/>
      <c r="H4" s="1"/>
      <c r="I4" s="9">
        <v>20</v>
      </c>
      <c r="J4" s="9">
        <v>16</v>
      </c>
      <c r="K4" s="1">
        <v>11</v>
      </c>
      <c r="L4" s="1">
        <v>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 t="s">
        <v>13</v>
      </c>
      <c r="C5" s="1" t="s">
        <v>14</v>
      </c>
      <c r="D5" s="1" t="s">
        <v>14</v>
      </c>
      <c r="E5" s="1" t="s">
        <v>14</v>
      </c>
      <c r="F5" s="1" t="s">
        <v>14</v>
      </c>
      <c r="G5" s="1"/>
      <c r="H5" s="1"/>
      <c r="I5" s="1" t="s">
        <v>14</v>
      </c>
      <c r="J5" s="1" t="s">
        <v>14</v>
      </c>
      <c r="K5" s="1" t="s">
        <v>14</v>
      </c>
      <c r="L5" s="1" t="s">
        <v>14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 t="s">
        <v>15</v>
      </c>
      <c r="C6" s="1" t="s">
        <v>14</v>
      </c>
      <c r="D6" s="1" t="s">
        <v>14</v>
      </c>
      <c r="E6" s="1" t="s">
        <v>14</v>
      </c>
      <c r="F6" s="1" t="s">
        <v>14</v>
      </c>
      <c r="G6" s="1"/>
      <c r="H6" s="1"/>
      <c r="I6" s="1" t="s">
        <v>14</v>
      </c>
      <c r="J6" s="1" t="s">
        <v>14</v>
      </c>
      <c r="K6" s="1" t="s">
        <v>14</v>
      </c>
      <c r="L6" s="1" t="s">
        <v>14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8" t="s">
        <v>16</v>
      </c>
      <c r="C7" s="2">
        <v>10</v>
      </c>
      <c r="D7" s="1">
        <v>7</v>
      </c>
      <c r="E7" s="1">
        <v>5</v>
      </c>
      <c r="F7" s="1">
        <v>3</v>
      </c>
      <c r="G7" s="1"/>
      <c r="H7" s="1"/>
      <c r="I7" s="2">
        <v>10</v>
      </c>
      <c r="J7" s="1">
        <v>7</v>
      </c>
      <c r="K7" s="1">
        <v>5</v>
      </c>
      <c r="L7" s="1">
        <v>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 t="s">
        <v>17</v>
      </c>
      <c r="C8" s="1" t="s">
        <v>14</v>
      </c>
      <c r="D8" s="1" t="s">
        <v>14</v>
      </c>
      <c r="E8" s="1" t="s">
        <v>14</v>
      </c>
      <c r="F8" s="1" t="s">
        <v>14</v>
      </c>
      <c r="G8" s="1"/>
      <c r="H8" s="1"/>
      <c r="I8" s="1" t="s">
        <v>14</v>
      </c>
      <c r="J8" s="1" t="s">
        <v>14</v>
      </c>
      <c r="K8" s="1" t="s">
        <v>14</v>
      </c>
      <c r="L8" s="1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 t="s">
        <v>18</v>
      </c>
      <c r="C9" s="1" t="s">
        <v>19</v>
      </c>
      <c r="D9" s="1" t="s">
        <v>19</v>
      </c>
      <c r="E9" s="1" t="s">
        <v>19</v>
      </c>
      <c r="F9" s="1" t="s">
        <v>19</v>
      </c>
      <c r="G9" s="1"/>
      <c r="H9" s="1"/>
      <c r="I9" s="1" t="s">
        <v>19</v>
      </c>
      <c r="J9" s="1" t="s">
        <v>19</v>
      </c>
      <c r="K9" s="1" t="s">
        <v>19</v>
      </c>
      <c r="L9" s="1" t="s">
        <v>19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 t="s">
        <v>20</v>
      </c>
      <c r="C10" s="1" t="s">
        <v>14</v>
      </c>
      <c r="D10" s="1" t="s">
        <v>14</v>
      </c>
      <c r="E10" s="1" t="s">
        <v>14</v>
      </c>
      <c r="F10" s="1" t="s">
        <v>14</v>
      </c>
      <c r="G10" s="1"/>
      <c r="H10" s="1"/>
      <c r="I10" s="1" t="s">
        <v>14</v>
      </c>
      <c r="J10" s="1" t="s">
        <v>14</v>
      </c>
      <c r="K10" s="1" t="s">
        <v>14</v>
      </c>
      <c r="L10" s="1" t="s">
        <v>14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 t="s">
        <v>26</v>
      </c>
      <c r="C11" s="1" t="s">
        <v>14</v>
      </c>
      <c r="D11" s="1" t="s">
        <v>14</v>
      </c>
      <c r="E11" s="1" t="s">
        <v>14</v>
      </c>
      <c r="F11" s="1" t="s">
        <v>14</v>
      </c>
      <c r="G11" s="1"/>
      <c r="H11" s="1"/>
      <c r="I11" s="1" t="s">
        <v>14</v>
      </c>
      <c r="J11" s="1" t="s">
        <v>14</v>
      </c>
      <c r="K11" s="1" t="s">
        <v>14</v>
      </c>
      <c r="L11" s="1" t="s">
        <v>14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8" t="s">
        <v>33</v>
      </c>
      <c r="C12" s="1">
        <v>11</v>
      </c>
      <c r="D12" s="1">
        <v>9</v>
      </c>
      <c r="E12" s="1">
        <v>7</v>
      </c>
      <c r="F12" s="1" t="s">
        <v>14</v>
      </c>
      <c r="G12" s="1"/>
      <c r="H12" s="1"/>
      <c r="I12" s="1">
        <v>11</v>
      </c>
      <c r="J12" s="1">
        <v>9</v>
      </c>
      <c r="K12" s="1">
        <v>7</v>
      </c>
      <c r="L12" s="1" t="s">
        <v>14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8" t="s">
        <v>34</v>
      </c>
      <c r="C13" s="15">
        <v>12</v>
      </c>
      <c r="D13" s="15">
        <v>11</v>
      </c>
      <c r="E13" s="15">
        <v>8</v>
      </c>
      <c r="F13" s="15" t="s">
        <v>14</v>
      </c>
      <c r="G13" s="1"/>
      <c r="H13" s="1"/>
      <c r="I13" s="15">
        <v>12</v>
      </c>
      <c r="J13" s="15">
        <v>11</v>
      </c>
      <c r="K13" s="15">
        <v>8</v>
      </c>
      <c r="L13" s="15" t="s">
        <v>14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8" t="s">
        <v>36</v>
      </c>
      <c r="C14" s="1">
        <v>11</v>
      </c>
      <c r="D14" s="1">
        <v>9</v>
      </c>
      <c r="E14" s="1">
        <v>7</v>
      </c>
      <c r="F14" s="1" t="s">
        <v>14</v>
      </c>
      <c r="G14" s="1"/>
      <c r="H14" s="1"/>
      <c r="I14" s="1">
        <v>11</v>
      </c>
      <c r="J14" s="1">
        <v>9</v>
      </c>
      <c r="K14" s="1">
        <v>7</v>
      </c>
      <c r="L14" s="1" t="s">
        <v>14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8" t="s">
        <v>39</v>
      </c>
      <c r="C15" s="1">
        <v>11</v>
      </c>
      <c r="D15" s="1">
        <v>9</v>
      </c>
      <c r="E15" s="1">
        <v>7</v>
      </c>
      <c r="F15" s="1" t="s">
        <v>14</v>
      </c>
      <c r="G15" s="1"/>
      <c r="H15" s="1"/>
      <c r="I15" s="1">
        <v>11</v>
      </c>
      <c r="J15" s="1">
        <v>9</v>
      </c>
      <c r="K15" s="1">
        <v>7</v>
      </c>
      <c r="L15" s="1" t="s">
        <v>14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8" t="s">
        <v>40</v>
      </c>
      <c r="C16" s="1">
        <v>11</v>
      </c>
      <c r="D16" s="1">
        <v>9</v>
      </c>
      <c r="E16" s="1">
        <v>7</v>
      </c>
      <c r="F16" s="1" t="s">
        <v>14</v>
      </c>
      <c r="G16" s="1"/>
      <c r="H16" s="1"/>
      <c r="I16" s="1">
        <v>11</v>
      </c>
      <c r="J16" s="1">
        <v>9</v>
      </c>
      <c r="K16" s="1">
        <v>7</v>
      </c>
      <c r="L16" s="1" t="s">
        <v>14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8" t="s">
        <v>41</v>
      </c>
      <c r="C17" s="15">
        <v>20</v>
      </c>
      <c r="D17" s="15">
        <v>16</v>
      </c>
      <c r="E17" s="15">
        <v>11</v>
      </c>
      <c r="F17" s="15">
        <v>8</v>
      </c>
      <c r="G17" s="1"/>
      <c r="H17" s="1"/>
      <c r="I17" s="15">
        <v>20</v>
      </c>
      <c r="J17" s="15">
        <v>16</v>
      </c>
      <c r="K17" s="15">
        <v>11</v>
      </c>
      <c r="L17" s="15">
        <v>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8" t="s">
        <v>45</v>
      </c>
      <c r="C18" s="19">
        <v>16</v>
      </c>
      <c r="D18" s="19">
        <v>13</v>
      </c>
      <c r="E18" s="9">
        <v>9</v>
      </c>
      <c r="F18" s="9">
        <v>5</v>
      </c>
      <c r="G18" s="1"/>
      <c r="H18" s="1"/>
      <c r="I18" s="19">
        <v>14</v>
      </c>
      <c r="J18" s="19">
        <v>12</v>
      </c>
      <c r="K18" s="9">
        <v>9</v>
      </c>
      <c r="L18" s="9">
        <v>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 t="s">
        <v>46</v>
      </c>
      <c r="C19" s="1" t="s">
        <v>14</v>
      </c>
      <c r="D19" s="1" t="s">
        <v>14</v>
      </c>
      <c r="E19" s="1" t="s">
        <v>14</v>
      </c>
      <c r="F19" s="1" t="s">
        <v>14</v>
      </c>
      <c r="G19" s="1"/>
      <c r="H19" s="1"/>
      <c r="I19" s="1" t="s">
        <v>14</v>
      </c>
      <c r="J19" s="1" t="s">
        <v>14</v>
      </c>
      <c r="K19" s="1" t="s">
        <v>14</v>
      </c>
      <c r="L19" s="1" t="s">
        <v>14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 t="s">
        <v>47</v>
      </c>
      <c r="C20" s="2">
        <v>10</v>
      </c>
      <c r="D20" s="1">
        <v>7</v>
      </c>
      <c r="E20" s="1">
        <v>5</v>
      </c>
      <c r="F20" s="1">
        <v>3</v>
      </c>
      <c r="G20" s="1"/>
      <c r="H20" s="1"/>
      <c r="I20" s="2">
        <v>10</v>
      </c>
      <c r="J20" s="1">
        <v>7</v>
      </c>
      <c r="K20" s="1">
        <v>5</v>
      </c>
      <c r="L20" s="1">
        <v>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 t="s">
        <v>48</v>
      </c>
      <c r="C21" s="1" t="s">
        <v>14</v>
      </c>
      <c r="D21" s="1" t="s">
        <v>14</v>
      </c>
      <c r="E21" s="1" t="s">
        <v>14</v>
      </c>
      <c r="F21" s="1" t="s">
        <v>14</v>
      </c>
      <c r="G21" s="1"/>
      <c r="H21" s="1"/>
      <c r="I21" s="1" t="s">
        <v>14</v>
      </c>
      <c r="J21" s="1" t="s">
        <v>14</v>
      </c>
      <c r="K21" s="1" t="s">
        <v>14</v>
      </c>
      <c r="L21" s="1" t="s">
        <v>14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8" t="s">
        <v>49</v>
      </c>
      <c r="C22" s="19">
        <v>17</v>
      </c>
      <c r="D22" s="19">
        <v>15</v>
      </c>
      <c r="E22" s="9">
        <v>11</v>
      </c>
      <c r="F22" s="9">
        <v>7</v>
      </c>
      <c r="G22" s="1"/>
      <c r="H22" s="1"/>
      <c r="I22" s="19">
        <v>16</v>
      </c>
      <c r="J22" s="19">
        <v>14</v>
      </c>
      <c r="K22" s="9">
        <v>11</v>
      </c>
      <c r="L22" s="9">
        <v>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8" t="s">
        <v>50</v>
      </c>
      <c r="C23" s="19">
        <v>19</v>
      </c>
      <c r="D23" s="22">
        <v>17</v>
      </c>
      <c r="E23" s="9">
        <v>13</v>
      </c>
      <c r="F23" s="9">
        <v>9</v>
      </c>
      <c r="G23" s="1"/>
      <c r="H23" s="1"/>
      <c r="I23" s="15">
        <v>18</v>
      </c>
      <c r="J23" s="9">
        <v>16</v>
      </c>
      <c r="K23" s="9">
        <v>13</v>
      </c>
      <c r="L23" s="9">
        <v>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8" t="s">
        <v>51</v>
      </c>
      <c r="C24" s="15">
        <v>14</v>
      </c>
      <c r="D24" s="15">
        <v>12</v>
      </c>
      <c r="E24" s="15">
        <v>9</v>
      </c>
      <c r="F24" s="15">
        <v>5</v>
      </c>
      <c r="G24" s="1" t="s">
        <v>52</v>
      </c>
      <c r="H24" s="1"/>
      <c r="I24" s="15">
        <v>14</v>
      </c>
      <c r="J24" s="15">
        <v>12</v>
      </c>
      <c r="K24" s="15">
        <v>9</v>
      </c>
      <c r="L24" s="15">
        <v>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8" t="s">
        <v>53</v>
      </c>
      <c r="C25" s="1">
        <v>10</v>
      </c>
      <c r="D25" s="1">
        <v>8</v>
      </c>
      <c r="E25" s="1">
        <v>6</v>
      </c>
      <c r="F25" s="1">
        <v>4</v>
      </c>
      <c r="G25" s="1"/>
      <c r="H25" s="1"/>
      <c r="I25" s="1">
        <v>10</v>
      </c>
      <c r="J25" s="1">
        <v>8</v>
      </c>
      <c r="K25" s="1">
        <v>6</v>
      </c>
      <c r="L25" s="1">
        <v>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8" t="s">
        <v>54</v>
      </c>
      <c r="C26" s="15">
        <v>11</v>
      </c>
      <c r="D26" s="15">
        <v>9</v>
      </c>
      <c r="E26" s="15">
        <v>7</v>
      </c>
      <c r="F26" s="15">
        <v>5</v>
      </c>
      <c r="G26" s="1"/>
      <c r="H26" s="1"/>
      <c r="I26" s="15">
        <v>11</v>
      </c>
      <c r="J26" s="15">
        <v>9</v>
      </c>
      <c r="K26" s="15">
        <v>7</v>
      </c>
      <c r="L26" s="15">
        <v>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8" t="s">
        <v>56</v>
      </c>
      <c r="C27" s="1">
        <v>10</v>
      </c>
      <c r="D27" s="1">
        <v>8</v>
      </c>
      <c r="E27" s="1">
        <v>6</v>
      </c>
      <c r="F27" s="1">
        <v>4</v>
      </c>
      <c r="G27" s="1"/>
      <c r="H27" s="1"/>
      <c r="I27" s="1">
        <v>10</v>
      </c>
      <c r="J27" s="1">
        <v>8</v>
      </c>
      <c r="K27" s="1">
        <v>6</v>
      </c>
      <c r="L27" s="1">
        <v>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8" t="s">
        <v>57</v>
      </c>
      <c r="C28" s="1">
        <v>10</v>
      </c>
      <c r="D28" s="1">
        <v>8</v>
      </c>
      <c r="E28" s="1">
        <v>6</v>
      </c>
      <c r="F28" s="1">
        <v>4</v>
      </c>
      <c r="G28" s="1"/>
      <c r="H28" s="1"/>
      <c r="I28" s="1">
        <v>10</v>
      </c>
      <c r="J28" s="1">
        <v>8</v>
      </c>
      <c r="K28" s="1">
        <v>6</v>
      </c>
      <c r="L28" s="1">
        <v>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8" t="s">
        <v>58</v>
      </c>
      <c r="C29" s="1">
        <v>10</v>
      </c>
      <c r="D29" s="1">
        <v>8</v>
      </c>
      <c r="E29" s="1">
        <v>6</v>
      </c>
      <c r="F29" s="1">
        <v>4</v>
      </c>
      <c r="G29" s="1"/>
      <c r="H29" s="1"/>
      <c r="I29" s="1">
        <v>10</v>
      </c>
      <c r="J29" s="1">
        <v>8</v>
      </c>
      <c r="K29" s="1">
        <v>6</v>
      </c>
      <c r="L29" s="1">
        <v>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 t="s">
        <v>59</v>
      </c>
      <c r="C30" s="1" t="s">
        <v>14</v>
      </c>
      <c r="D30" s="1" t="s">
        <v>14</v>
      </c>
      <c r="E30" s="1" t="s">
        <v>14</v>
      </c>
      <c r="F30" s="1" t="s">
        <v>14</v>
      </c>
      <c r="G30" s="1"/>
      <c r="H30" s="1"/>
      <c r="I30" s="1" t="s">
        <v>14</v>
      </c>
      <c r="J30" s="1" t="s">
        <v>14</v>
      </c>
      <c r="K30" s="1" t="s">
        <v>14</v>
      </c>
      <c r="L30" s="1" t="s">
        <v>14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8" t="s">
        <v>60</v>
      </c>
      <c r="C31" s="22">
        <v>12</v>
      </c>
      <c r="D31" s="22">
        <v>10</v>
      </c>
      <c r="E31" s="1">
        <v>7</v>
      </c>
      <c r="F31" s="1">
        <v>4</v>
      </c>
      <c r="G31" s="1"/>
      <c r="H31" s="1"/>
      <c r="I31" s="1">
        <v>11</v>
      </c>
      <c r="J31" s="1">
        <v>9</v>
      </c>
      <c r="K31" s="1">
        <v>7</v>
      </c>
      <c r="L31" s="1">
        <v>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 t="s">
        <v>62</v>
      </c>
      <c r="C32" s="1">
        <v>19</v>
      </c>
      <c r="D32" s="1">
        <v>15</v>
      </c>
      <c r="E32" s="9">
        <v>10</v>
      </c>
      <c r="F32" s="9">
        <v>7</v>
      </c>
      <c r="G32" s="1"/>
      <c r="H32" s="1"/>
      <c r="I32" s="9">
        <v>19</v>
      </c>
      <c r="J32" s="9">
        <v>15</v>
      </c>
      <c r="K32" s="9">
        <v>10</v>
      </c>
      <c r="L32" s="9">
        <v>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 t="s">
        <v>63</v>
      </c>
      <c r="C33" s="1">
        <v>10</v>
      </c>
      <c r="D33" s="15">
        <v>8</v>
      </c>
      <c r="E33" s="15">
        <v>5</v>
      </c>
      <c r="F33" s="15">
        <v>3</v>
      </c>
      <c r="G33" s="1" t="s">
        <v>64</v>
      </c>
      <c r="H33" s="1"/>
      <c r="I33" s="1">
        <v>10</v>
      </c>
      <c r="J33" s="15">
        <v>8</v>
      </c>
      <c r="K33" s="15">
        <v>5</v>
      </c>
      <c r="L33" s="15">
        <v>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8" t="s">
        <v>65</v>
      </c>
      <c r="C34" s="9">
        <v>18</v>
      </c>
      <c r="D34" s="9">
        <v>14</v>
      </c>
      <c r="E34" s="9">
        <v>9</v>
      </c>
      <c r="F34" s="9">
        <v>6</v>
      </c>
      <c r="G34" s="1"/>
      <c r="H34" s="1"/>
      <c r="I34" s="9">
        <v>18</v>
      </c>
      <c r="J34" s="9">
        <v>14</v>
      </c>
      <c r="K34" s="9">
        <v>9</v>
      </c>
      <c r="L34" s="9">
        <v>6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8" t="s">
        <v>66</v>
      </c>
      <c r="C35" s="22">
        <v>14</v>
      </c>
      <c r="D35" s="22">
        <v>12</v>
      </c>
      <c r="E35" s="9">
        <v>9</v>
      </c>
      <c r="F35" s="9">
        <v>6</v>
      </c>
      <c r="G35" s="1"/>
      <c r="H35" s="1"/>
      <c r="I35" s="9">
        <v>13</v>
      </c>
      <c r="J35" s="9">
        <v>11</v>
      </c>
      <c r="K35" s="9">
        <v>9</v>
      </c>
      <c r="L35" s="9">
        <v>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8" t="s">
        <v>67</v>
      </c>
      <c r="C36" s="22">
        <v>16</v>
      </c>
      <c r="D36" s="22">
        <v>14</v>
      </c>
      <c r="E36" s="9">
        <v>11</v>
      </c>
      <c r="F36" s="9">
        <v>8</v>
      </c>
      <c r="G36" s="1"/>
      <c r="H36" s="1"/>
      <c r="I36" s="9">
        <v>15</v>
      </c>
      <c r="J36" s="9">
        <v>13</v>
      </c>
      <c r="K36" s="9">
        <v>11</v>
      </c>
      <c r="L36" s="9">
        <v>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8" t="s">
        <v>68</v>
      </c>
      <c r="C37" s="1" t="s">
        <v>14</v>
      </c>
      <c r="D37" s="1" t="s">
        <v>14</v>
      </c>
      <c r="E37" s="9">
        <v>20</v>
      </c>
      <c r="F37" s="1" t="s">
        <v>14</v>
      </c>
      <c r="G37" s="1"/>
      <c r="H37" s="1"/>
      <c r="I37" s="1" t="s">
        <v>14</v>
      </c>
      <c r="J37" s="1" t="s">
        <v>14</v>
      </c>
      <c r="K37" s="9">
        <v>20</v>
      </c>
      <c r="L37" s="1" t="s">
        <v>14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8" t="s">
        <v>70</v>
      </c>
      <c r="C38" s="22">
        <v>12</v>
      </c>
      <c r="D38" s="22">
        <v>10</v>
      </c>
      <c r="E38" s="1">
        <v>7</v>
      </c>
      <c r="F38" s="1">
        <v>4</v>
      </c>
      <c r="G38" s="1"/>
      <c r="H38" s="1"/>
      <c r="I38" s="1">
        <v>11</v>
      </c>
      <c r="J38" s="1">
        <v>9</v>
      </c>
      <c r="K38" s="1">
        <v>7</v>
      </c>
      <c r="L38" s="1">
        <v>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8" t="s">
        <v>71</v>
      </c>
      <c r="C39" s="1">
        <v>9</v>
      </c>
      <c r="D39" s="1">
        <v>7</v>
      </c>
      <c r="E39" s="1">
        <v>5</v>
      </c>
      <c r="F39" s="1">
        <v>3</v>
      </c>
      <c r="G39" s="1"/>
      <c r="H39" s="1"/>
      <c r="I39" s="1">
        <v>9</v>
      </c>
      <c r="J39" s="1">
        <v>7</v>
      </c>
      <c r="K39" s="1">
        <v>5</v>
      </c>
      <c r="L39" s="1">
        <v>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8" t="s">
        <v>72</v>
      </c>
      <c r="C40" s="15">
        <v>10</v>
      </c>
      <c r="D40" s="15">
        <v>8</v>
      </c>
      <c r="E40" s="15">
        <v>6</v>
      </c>
      <c r="F40" s="15">
        <v>4</v>
      </c>
      <c r="G40" s="1"/>
      <c r="H40" s="1"/>
      <c r="I40" s="15">
        <v>10</v>
      </c>
      <c r="J40" s="15">
        <v>8</v>
      </c>
      <c r="K40" s="15">
        <v>6</v>
      </c>
      <c r="L40" s="15">
        <v>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8" t="s">
        <v>73</v>
      </c>
      <c r="C41" s="1">
        <v>9</v>
      </c>
      <c r="D41" s="1">
        <v>7</v>
      </c>
      <c r="E41" s="1">
        <v>5</v>
      </c>
      <c r="F41" s="1">
        <v>3</v>
      </c>
      <c r="G41" s="1"/>
      <c r="H41" s="1"/>
      <c r="I41" s="1">
        <v>9</v>
      </c>
      <c r="J41" s="1">
        <v>7</v>
      </c>
      <c r="K41" s="1">
        <v>5</v>
      </c>
      <c r="L41" s="1">
        <v>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8" t="s">
        <v>74</v>
      </c>
      <c r="C42" s="1">
        <v>9</v>
      </c>
      <c r="D42" s="1">
        <v>7</v>
      </c>
      <c r="E42" s="1">
        <v>5</v>
      </c>
      <c r="F42" s="1">
        <v>3</v>
      </c>
      <c r="G42" s="1"/>
      <c r="H42" s="1"/>
      <c r="I42" s="1">
        <v>9</v>
      </c>
      <c r="J42" s="1">
        <v>7</v>
      </c>
      <c r="K42" s="1">
        <v>5</v>
      </c>
      <c r="L42" s="1">
        <v>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8" t="s">
        <v>75</v>
      </c>
      <c r="C43" s="1">
        <v>9</v>
      </c>
      <c r="D43" s="1">
        <v>7</v>
      </c>
      <c r="E43" s="1">
        <v>5</v>
      </c>
      <c r="F43" s="1">
        <v>3</v>
      </c>
      <c r="G43" s="1"/>
      <c r="H43" s="1"/>
      <c r="I43" s="1">
        <v>9</v>
      </c>
      <c r="J43" s="1">
        <v>7</v>
      </c>
      <c r="K43" s="1">
        <v>5</v>
      </c>
      <c r="L43" s="1">
        <v>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 t="s">
        <v>76</v>
      </c>
      <c r="C44" s="1" t="s">
        <v>14</v>
      </c>
      <c r="D44" s="1" t="s">
        <v>14</v>
      </c>
      <c r="E44" s="1" t="s">
        <v>14</v>
      </c>
      <c r="F44" s="1" t="s">
        <v>14</v>
      </c>
      <c r="G44" s="1"/>
      <c r="H44" s="1"/>
      <c r="I44" s="1" t="s">
        <v>14</v>
      </c>
      <c r="J44" s="1" t="s">
        <v>14</v>
      </c>
      <c r="K44" s="1" t="s">
        <v>14</v>
      </c>
      <c r="L44" s="1" t="s">
        <v>14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8" t="s">
        <v>77</v>
      </c>
      <c r="C45" s="22">
        <v>10</v>
      </c>
      <c r="D45" s="22">
        <v>8</v>
      </c>
      <c r="E45" s="1">
        <v>5</v>
      </c>
      <c r="F45" s="1">
        <v>3</v>
      </c>
      <c r="G45" s="1"/>
      <c r="H45" s="1"/>
      <c r="I45" s="1">
        <v>9</v>
      </c>
      <c r="J45" s="1">
        <v>7</v>
      </c>
      <c r="K45" s="1">
        <v>5</v>
      </c>
      <c r="L45" s="1">
        <v>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8" t="s">
        <v>78</v>
      </c>
      <c r="C46" s="9">
        <v>16</v>
      </c>
      <c r="D46" s="9">
        <v>13</v>
      </c>
      <c r="E46" s="9">
        <v>8</v>
      </c>
      <c r="F46" s="9">
        <v>6</v>
      </c>
      <c r="G46" s="1"/>
      <c r="H46" s="1"/>
      <c r="I46" s="9">
        <v>16</v>
      </c>
      <c r="J46" s="9">
        <v>13</v>
      </c>
      <c r="K46" s="9">
        <v>8</v>
      </c>
      <c r="L46" s="9">
        <v>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8" t="s">
        <v>79</v>
      </c>
      <c r="C47" s="29">
        <v>9</v>
      </c>
      <c r="D47" s="1">
        <v>7</v>
      </c>
      <c r="E47" s="1">
        <v>5</v>
      </c>
      <c r="F47" s="1">
        <v>3</v>
      </c>
      <c r="G47" s="1"/>
      <c r="H47" s="1"/>
      <c r="I47" s="29">
        <v>9</v>
      </c>
      <c r="J47" s="1">
        <v>7</v>
      </c>
      <c r="K47" s="1">
        <v>5</v>
      </c>
      <c r="L47" s="1">
        <v>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8" t="s">
        <v>80</v>
      </c>
      <c r="C48" s="9">
        <v>15</v>
      </c>
      <c r="D48" s="9">
        <v>12</v>
      </c>
      <c r="E48" s="9">
        <v>7</v>
      </c>
      <c r="F48" s="9">
        <v>5</v>
      </c>
      <c r="G48" s="1"/>
      <c r="H48" s="1"/>
      <c r="I48" s="9">
        <v>15</v>
      </c>
      <c r="J48" s="9">
        <v>12</v>
      </c>
      <c r="K48" s="9">
        <v>7</v>
      </c>
      <c r="L48" s="9">
        <v>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8" t="s">
        <v>82</v>
      </c>
      <c r="C49" s="22">
        <v>12</v>
      </c>
      <c r="D49" s="22">
        <v>10</v>
      </c>
      <c r="E49" s="9">
        <v>7</v>
      </c>
      <c r="F49" s="9">
        <v>5</v>
      </c>
      <c r="G49" s="1"/>
      <c r="H49" s="1"/>
      <c r="I49" s="9">
        <v>11</v>
      </c>
      <c r="J49" s="9">
        <v>9</v>
      </c>
      <c r="K49" s="9">
        <v>7</v>
      </c>
      <c r="L49" s="9">
        <v>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8" t="s">
        <v>83</v>
      </c>
      <c r="C50" s="22">
        <v>14</v>
      </c>
      <c r="D50" s="22">
        <v>12</v>
      </c>
      <c r="E50" s="9">
        <v>9</v>
      </c>
      <c r="F50" s="9">
        <v>7</v>
      </c>
      <c r="G50" s="1"/>
      <c r="H50" s="1"/>
      <c r="I50" s="9">
        <v>13</v>
      </c>
      <c r="J50" s="9">
        <v>11</v>
      </c>
      <c r="K50" s="9">
        <v>9</v>
      </c>
      <c r="L50" s="9">
        <v>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8" t="s">
        <v>84</v>
      </c>
      <c r="C51" s="22">
        <v>10</v>
      </c>
      <c r="D51" s="22">
        <v>8</v>
      </c>
      <c r="E51" s="1">
        <v>5</v>
      </c>
      <c r="F51" s="1">
        <v>3</v>
      </c>
      <c r="G51" s="1"/>
      <c r="H51" s="1"/>
      <c r="I51" s="1">
        <v>9</v>
      </c>
      <c r="J51" s="1">
        <v>7</v>
      </c>
      <c r="K51" s="1">
        <v>5</v>
      </c>
      <c r="L51" s="1">
        <v>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8" t="s">
        <v>85</v>
      </c>
      <c r="C52" s="1">
        <v>8</v>
      </c>
      <c r="D52" s="1">
        <v>6</v>
      </c>
      <c r="E52" s="1">
        <v>4</v>
      </c>
      <c r="F52" s="1">
        <v>2</v>
      </c>
      <c r="G52" s="1"/>
      <c r="H52" s="1"/>
      <c r="I52" s="1">
        <v>8</v>
      </c>
      <c r="J52" s="1">
        <v>6</v>
      </c>
      <c r="K52" s="1">
        <v>4</v>
      </c>
      <c r="L52" s="1">
        <v>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8" t="s">
        <v>86</v>
      </c>
      <c r="C53" s="15">
        <v>9</v>
      </c>
      <c r="D53" s="15">
        <v>7</v>
      </c>
      <c r="E53" s="15">
        <v>5</v>
      </c>
      <c r="F53" s="15">
        <v>3</v>
      </c>
      <c r="G53" s="1"/>
      <c r="H53" s="1"/>
      <c r="I53" s="15">
        <v>9</v>
      </c>
      <c r="J53" s="15">
        <v>7</v>
      </c>
      <c r="K53" s="15">
        <v>5</v>
      </c>
      <c r="L53" s="15">
        <v>3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8" t="s">
        <v>87</v>
      </c>
      <c r="C54" s="1">
        <v>8</v>
      </c>
      <c r="D54" s="1">
        <v>6</v>
      </c>
      <c r="E54" s="1">
        <v>4</v>
      </c>
      <c r="F54" s="1">
        <v>2</v>
      </c>
      <c r="G54" s="1"/>
      <c r="H54" s="1"/>
      <c r="I54" s="1">
        <v>8</v>
      </c>
      <c r="J54" s="1">
        <v>6</v>
      </c>
      <c r="K54" s="1">
        <v>4</v>
      </c>
      <c r="L54" s="1">
        <v>2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8" t="s">
        <v>88</v>
      </c>
      <c r="C55" s="1">
        <v>8</v>
      </c>
      <c r="D55" s="1">
        <v>6</v>
      </c>
      <c r="E55" s="1">
        <v>4</v>
      </c>
      <c r="F55" s="1">
        <v>2</v>
      </c>
      <c r="G55" s="1"/>
      <c r="H55" s="1"/>
      <c r="I55" s="1">
        <v>8</v>
      </c>
      <c r="J55" s="1">
        <v>6</v>
      </c>
      <c r="K55" s="1">
        <v>4</v>
      </c>
      <c r="L55" s="1">
        <v>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8" t="s">
        <v>89</v>
      </c>
      <c r="C56" s="1">
        <v>8</v>
      </c>
      <c r="D56" s="1">
        <v>6</v>
      </c>
      <c r="E56" s="1">
        <v>4</v>
      </c>
      <c r="F56" s="1">
        <v>2</v>
      </c>
      <c r="G56" s="1"/>
      <c r="H56" s="1"/>
      <c r="I56" s="1">
        <v>8</v>
      </c>
      <c r="J56" s="1">
        <v>6</v>
      </c>
      <c r="K56" s="1">
        <v>4</v>
      </c>
      <c r="L56" s="1">
        <v>2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8" t="s">
        <v>90</v>
      </c>
      <c r="C57" s="1" t="s">
        <v>14</v>
      </c>
      <c r="D57" s="1" t="s">
        <v>14</v>
      </c>
      <c r="E57" s="9">
        <v>20</v>
      </c>
      <c r="F57" s="1" t="s">
        <v>14</v>
      </c>
      <c r="G57" s="1"/>
      <c r="H57" s="1"/>
      <c r="I57" s="1" t="s">
        <v>14</v>
      </c>
      <c r="J57" s="1" t="s">
        <v>14</v>
      </c>
      <c r="K57" s="9">
        <v>20</v>
      </c>
      <c r="L57" s="1" t="s">
        <v>14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8" t="s">
        <v>92</v>
      </c>
      <c r="C58" s="1" t="s">
        <v>14</v>
      </c>
      <c r="D58" s="1" t="s">
        <v>14</v>
      </c>
      <c r="E58" s="15">
        <v>20</v>
      </c>
      <c r="F58" s="1" t="s">
        <v>14</v>
      </c>
      <c r="G58" s="1" t="s">
        <v>64</v>
      </c>
      <c r="H58" s="1"/>
      <c r="I58" s="1" t="s">
        <v>14</v>
      </c>
      <c r="J58" s="1" t="s">
        <v>14</v>
      </c>
      <c r="K58" s="15">
        <v>20</v>
      </c>
      <c r="L58" s="1" t="s">
        <v>14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8" t="s">
        <v>93</v>
      </c>
      <c r="C59" s="1">
        <v>8</v>
      </c>
      <c r="D59" s="1">
        <v>6</v>
      </c>
      <c r="E59" s="1">
        <v>4</v>
      </c>
      <c r="F59" s="1">
        <v>2</v>
      </c>
      <c r="G59" s="1"/>
      <c r="H59" s="1"/>
      <c r="I59" s="1">
        <v>8</v>
      </c>
      <c r="J59" s="1">
        <v>6</v>
      </c>
      <c r="K59" s="1">
        <v>4</v>
      </c>
      <c r="L59" s="1">
        <v>2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8" t="s">
        <v>94</v>
      </c>
      <c r="C60" s="1" t="s">
        <v>14</v>
      </c>
      <c r="D60" s="1">
        <v>32</v>
      </c>
      <c r="E60" s="1">
        <v>25</v>
      </c>
      <c r="F60" s="1">
        <v>17</v>
      </c>
      <c r="G60" s="1"/>
      <c r="H60" s="1"/>
      <c r="I60" s="1" t="s">
        <v>14</v>
      </c>
      <c r="J60" s="1">
        <v>32</v>
      </c>
      <c r="K60" s="1">
        <v>25</v>
      </c>
      <c r="L60" s="1">
        <v>17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8" t="s">
        <v>95</v>
      </c>
      <c r="C61" s="1" t="s">
        <v>14</v>
      </c>
      <c r="D61" s="1">
        <v>26</v>
      </c>
      <c r="E61" s="1">
        <v>20</v>
      </c>
      <c r="F61" s="1">
        <v>14</v>
      </c>
      <c r="G61" s="1"/>
      <c r="H61" s="1"/>
      <c r="I61" s="1" t="s">
        <v>14</v>
      </c>
      <c r="J61" s="1">
        <v>26</v>
      </c>
      <c r="K61" s="1">
        <v>20</v>
      </c>
      <c r="L61" s="1">
        <v>14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8" t="s">
        <v>96</v>
      </c>
      <c r="C62" s="1" t="s">
        <v>14</v>
      </c>
      <c r="D62" s="1">
        <v>16</v>
      </c>
      <c r="E62" s="1">
        <v>12</v>
      </c>
      <c r="F62" s="1">
        <v>9</v>
      </c>
      <c r="G62" s="1"/>
      <c r="H62" s="1"/>
      <c r="I62" s="1" t="s">
        <v>14</v>
      </c>
      <c r="J62" s="1">
        <v>16</v>
      </c>
      <c r="K62" s="1">
        <v>12</v>
      </c>
      <c r="L62" s="1">
        <v>9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 t="s">
        <v>97</v>
      </c>
      <c r="C63" s="15">
        <v>16</v>
      </c>
      <c r="D63" s="15">
        <v>13</v>
      </c>
      <c r="E63" s="15">
        <v>10</v>
      </c>
      <c r="F63" s="15">
        <v>8</v>
      </c>
      <c r="G63" s="1" t="s">
        <v>98</v>
      </c>
      <c r="H63" s="1"/>
      <c r="I63" s="15">
        <v>16</v>
      </c>
      <c r="J63" s="15">
        <v>13</v>
      </c>
      <c r="K63" s="15">
        <v>10</v>
      </c>
      <c r="L63" s="15">
        <v>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 t="s">
        <v>99</v>
      </c>
      <c r="C64" s="15">
        <v>16</v>
      </c>
      <c r="D64" s="15">
        <v>13</v>
      </c>
      <c r="E64" s="15">
        <v>10</v>
      </c>
      <c r="F64" s="15">
        <v>8</v>
      </c>
      <c r="G64" s="1" t="s">
        <v>98</v>
      </c>
      <c r="H64" s="1"/>
      <c r="I64" s="15">
        <v>16</v>
      </c>
      <c r="J64" s="15">
        <v>13</v>
      </c>
      <c r="K64" s="15">
        <v>10</v>
      </c>
      <c r="L64" s="15">
        <v>8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 t="s">
        <v>100</v>
      </c>
      <c r="C65" s="1">
        <v>14</v>
      </c>
      <c r="D65" s="1">
        <v>12</v>
      </c>
      <c r="E65" s="1">
        <v>9</v>
      </c>
      <c r="F65" s="1">
        <v>7</v>
      </c>
      <c r="G65" s="1"/>
      <c r="H65" s="1"/>
      <c r="I65" s="1">
        <v>14</v>
      </c>
      <c r="J65" s="1">
        <v>12</v>
      </c>
      <c r="K65" s="1">
        <v>9</v>
      </c>
      <c r="L65" s="1">
        <v>7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 t="s">
        <v>102</v>
      </c>
      <c r="C66" s="1">
        <v>3</v>
      </c>
      <c r="D66" s="1"/>
      <c r="E66" s="1"/>
      <c r="F66" s="1"/>
      <c r="G66" s="1"/>
      <c r="H66" s="1"/>
      <c r="I66" s="1">
        <v>3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 t="s">
        <v>103</v>
      </c>
      <c r="C67" s="1" t="s">
        <v>14</v>
      </c>
      <c r="D67" s="1" t="s">
        <v>14</v>
      </c>
      <c r="E67" s="1">
        <v>20</v>
      </c>
      <c r="F67" s="1">
        <v>14</v>
      </c>
      <c r="G67" s="1"/>
      <c r="H67" s="1"/>
      <c r="I67" s="1" t="s">
        <v>14</v>
      </c>
      <c r="J67" s="1" t="s">
        <v>14</v>
      </c>
      <c r="K67" s="1">
        <v>20</v>
      </c>
      <c r="L67" s="1">
        <v>14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 t="s">
        <v>104</v>
      </c>
      <c r="C68" s="1" t="s">
        <v>14</v>
      </c>
      <c r="D68" s="1" t="s">
        <v>14</v>
      </c>
      <c r="E68" s="1">
        <v>14</v>
      </c>
      <c r="F68" s="1">
        <v>8</v>
      </c>
      <c r="G68" s="1"/>
      <c r="H68" s="1"/>
      <c r="I68" s="1" t="s">
        <v>14</v>
      </c>
      <c r="J68" s="1" t="s">
        <v>14</v>
      </c>
      <c r="K68" s="1">
        <v>14</v>
      </c>
      <c r="L68" s="1">
        <v>8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 t="s">
        <v>105</v>
      </c>
      <c r="C69" s="1" t="s">
        <v>14</v>
      </c>
      <c r="D69" s="1" t="s">
        <v>14</v>
      </c>
      <c r="E69" s="1">
        <v>30</v>
      </c>
      <c r="F69" s="1" t="s">
        <v>14</v>
      </c>
      <c r="G69" s="1"/>
      <c r="H69" s="1"/>
      <c r="I69" s="1" t="s">
        <v>14</v>
      </c>
      <c r="J69" s="1" t="s">
        <v>14</v>
      </c>
      <c r="K69" s="1">
        <v>30</v>
      </c>
      <c r="L69" s="1" t="s">
        <v>14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 t="s">
        <v>106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 t="s">
        <v>107</v>
      </c>
      <c r="I72" s="1" t="s">
        <v>108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 t="s">
        <v>109</v>
      </c>
      <c r="I73" s="1" t="s">
        <v>108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 t="s">
        <v>110</v>
      </c>
      <c r="I74" s="1" t="s">
        <v>108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 t="s">
        <v>111</v>
      </c>
      <c r="I75" s="1" t="s">
        <v>112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 t="s">
        <v>113</v>
      </c>
      <c r="I76" s="1" t="s">
        <v>108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 t="s">
        <v>114</v>
      </c>
      <c r="I77" s="1" t="s">
        <v>108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 t="s">
        <v>116</v>
      </c>
      <c r="I78" s="1" t="s">
        <v>108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 t="s">
        <v>117</v>
      </c>
      <c r="I79" s="1" t="s">
        <v>112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 t="s">
        <v>118</v>
      </c>
      <c r="I80" s="1" t="s">
        <v>112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 t="s">
        <v>119</v>
      </c>
      <c r="I81" s="1" t="s">
        <v>112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 t="s">
        <v>120</v>
      </c>
      <c r="I82" s="1" t="s">
        <v>112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 t="s">
        <v>121</v>
      </c>
      <c r="I83" s="1" t="s">
        <v>112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 t="s">
        <v>122</v>
      </c>
      <c r="I84" s="1" t="s">
        <v>112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 t="s">
        <v>123</v>
      </c>
      <c r="I85" s="1" t="s">
        <v>112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 t="s">
        <v>125</v>
      </c>
      <c r="I86" s="1" t="s">
        <v>112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 t="s">
        <v>126</v>
      </c>
      <c r="I87" s="1" t="s">
        <v>112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 t="s">
        <v>127</v>
      </c>
      <c r="I88" s="1" t="s">
        <v>108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 t="s">
        <v>128</v>
      </c>
      <c r="I89" s="1" t="s">
        <v>108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 t="s">
        <v>129</v>
      </c>
      <c r="I90" s="1" t="s">
        <v>108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 t="s">
        <v>130</v>
      </c>
      <c r="I91" s="1" t="s">
        <v>112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 t="s">
        <v>131</v>
      </c>
      <c r="I92" s="1" t="s">
        <v>112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 t="s">
        <v>132</v>
      </c>
      <c r="K93" s="1" t="s">
        <v>112</v>
      </c>
      <c r="L93" s="1" t="s">
        <v>108</v>
      </c>
      <c r="M93" s="1" t="s">
        <v>133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 t="s">
        <v>14</v>
      </c>
      <c r="K94" s="1">
        <v>0</v>
      </c>
      <c r="L94" s="1"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8" t="s">
        <v>134</v>
      </c>
      <c r="K95" s="9">
        <v>1</v>
      </c>
      <c r="L95" s="1">
        <v>0</v>
      </c>
      <c r="M95" s="1" t="s">
        <v>135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8" t="s">
        <v>137</v>
      </c>
      <c r="K96" s="1">
        <v>3</v>
      </c>
      <c r="L96" s="1">
        <v>0</v>
      </c>
      <c r="M96" s="1" t="s">
        <v>135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8" t="s">
        <v>138</v>
      </c>
      <c r="K97" s="1">
        <v>2</v>
      </c>
      <c r="L97" s="1">
        <v>0</v>
      </c>
      <c r="M97" s="1" t="s">
        <v>135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 t="s">
        <v>139</v>
      </c>
      <c r="K98" s="1" t="s">
        <v>14</v>
      </c>
      <c r="L98" s="9">
        <v>1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 t="s">
        <v>140</v>
      </c>
      <c r="K99" s="1" t="s">
        <v>14</v>
      </c>
      <c r="L99" s="9">
        <v>1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8" t="s">
        <v>142</v>
      </c>
      <c r="K100" s="1">
        <v>1</v>
      </c>
      <c r="L100" s="9">
        <v>1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 t="s">
        <v>143</v>
      </c>
      <c r="K101" s="9">
        <v>0</v>
      </c>
      <c r="L101" s="9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 t="s">
        <v>144</v>
      </c>
      <c r="K102" s="1">
        <v>0</v>
      </c>
      <c r="L102" s="1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 t="s">
        <v>146</v>
      </c>
      <c r="K103" s="1">
        <v>0</v>
      </c>
      <c r="L103" s="1" t="s">
        <v>14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 t="s">
        <v>147</v>
      </c>
      <c r="K104" s="1">
        <v>0</v>
      </c>
      <c r="L104" s="1" t="s">
        <v>14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 t="s">
        <v>148</v>
      </c>
      <c r="K105" s="1">
        <v>0</v>
      </c>
      <c r="L105" s="1" t="s">
        <v>14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 t="s">
        <v>126</v>
      </c>
      <c r="K106" s="1">
        <v>0</v>
      </c>
      <c r="L106" s="1" t="s">
        <v>14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 t="s">
        <v>149</v>
      </c>
      <c r="K107" s="1">
        <v>3</v>
      </c>
      <c r="L107" s="1" t="s">
        <v>14</v>
      </c>
      <c r="M107" s="1" t="s">
        <v>135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 t="s">
        <v>150</v>
      </c>
      <c r="K108" s="1">
        <v>1</v>
      </c>
      <c r="L108" s="1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 t="s">
        <v>152</v>
      </c>
      <c r="K109" s="1">
        <v>0</v>
      </c>
      <c r="L109" s="1"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 t="s">
        <v>153</v>
      </c>
      <c r="K110" s="1">
        <v>0</v>
      </c>
      <c r="L110" s="1"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 t="s">
        <v>105</v>
      </c>
      <c r="K111" s="1">
        <v>0</v>
      </c>
      <c r="L111" s="1">
        <v>0</v>
      </c>
      <c r="M111" s="1" t="s">
        <v>108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 t="s">
        <v>156</v>
      </c>
      <c r="N113" s="1" t="s">
        <v>112</v>
      </c>
      <c r="O113" s="1" t="s">
        <v>108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 t="s">
        <v>14</v>
      </c>
      <c r="N114" s="1">
        <v>0</v>
      </c>
      <c r="O114" s="1">
        <v>0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8" t="s">
        <v>158</v>
      </c>
      <c r="N115" s="1"/>
      <c r="O115" s="1">
        <v>2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 t="s">
        <v>160</v>
      </c>
      <c r="N116" s="1"/>
      <c r="O116" s="1">
        <v>1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8" t="s">
        <v>140</v>
      </c>
      <c r="N117" s="1"/>
      <c r="O117" s="1">
        <v>2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 t="s">
        <v>164</v>
      </c>
      <c r="N118" s="1">
        <v>1</v>
      </c>
      <c r="O118" s="1" t="s">
        <v>14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 t="s">
        <v>166</v>
      </c>
      <c r="N119" s="1">
        <v>1</v>
      </c>
      <c r="O119" s="1" t="s">
        <v>14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 t="s">
        <v>167</v>
      </c>
      <c r="N120" s="9"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8" t="s">
        <v>168</v>
      </c>
      <c r="N121" s="1"/>
      <c r="O121" s="9">
        <v>3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 t="s">
        <v>169</v>
      </c>
      <c r="N122" s="1">
        <v>1</v>
      </c>
      <c r="O122" s="1" t="s">
        <v>14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 t="s">
        <v>170</v>
      </c>
      <c r="N123" s="1">
        <v>1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 t="s">
        <v>171</v>
      </c>
      <c r="N124" s="1">
        <v>0</v>
      </c>
      <c r="O124" s="1">
        <v>0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 t="s">
        <v>149</v>
      </c>
      <c r="N125" s="9">
        <v>0</v>
      </c>
      <c r="O125" s="9">
        <v>0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 t="s">
        <v>173</v>
      </c>
      <c r="N126" s="9">
        <v>0</v>
      </c>
      <c r="O126" s="9">
        <v>0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 t="s">
        <v>174</v>
      </c>
      <c r="N127" s="1">
        <v>0</v>
      </c>
      <c r="O127" s="1">
        <v>0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 t="s">
        <v>126</v>
      </c>
      <c r="N128" s="1">
        <v>0</v>
      </c>
      <c r="O128" s="1">
        <v>0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 t="s">
        <v>175</v>
      </c>
      <c r="Q130" s="1" t="s">
        <v>112</v>
      </c>
      <c r="R130" s="1" t="s">
        <v>108</v>
      </c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v>0</v>
      </c>
      <c r="R131" s="1">
        <v>0</v>
      </c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 t="s">
        <v>140</v>
      </c>
      <c r="Q132" s="1">
        <v>0</v>
      </c>
      <c r="R132" s="1">
        <v>2</v>
      </c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 t="s">
        <v>166</v>
      </c>
      <c r="Q133" s="1">
        <v>0</v>
      </c>
      <c r="R133" s="1">
        <v>0</v>
      </c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 t="s">
        <v>167</v>
      </c>
      <c r="Q134" s="9">
        <v>0</v>
      </c>
      <c r="R134" s="1">
        <v>0</v>
      </c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 t="s">
        <v>164</v>
      </c>
      <c r="Q135" s="9">
        <v>1</v>
      </c>
      <c r="R135" s="1">
        <v>0</v>
      </c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 t="s">
        <v>174</v>
      </c>
      <c r="Q136" s="1">
        <v>0</v>
      </c>
      <c r="R136" s="1">
        <v>0</v>
      </c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 t="s">
        <v>176</v>
      </c>
      <c r="Q137" s="1">
        <v>1</v>
      </c>
      <c r="R137" s="9">
        <v>1</v>
      </c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 t="s">
        <v>178</v>
      </c>
      <c r="T139" s="1" t="s">
        <v>69</v>
      </c>
      <c r="U139" s="1" t="s">
        <v>179</v>
      </c>
      <c r="V139" s="1" t="s">
        <v>180</v>
      </c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 t="s">
        <v>181</v>
      </c>
      <c r="T140" s="1">
        <v>80</v>
      </c>
      <c r="U140" s="1">
        <v>80</v>
      </c>
      <c r="V140" s="1">
        <v>70</v>
      </c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 t="s">
        <v>182</v>
      </c>
      <c r="T141" s="1">
        <v>50</v>
      </c>
      <c r="U141" s="1">
        <v>50</v>
      </c>
      <c r="V141" s="1">
        <v>40</v>
      </c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 t="s">
        <v>183</v>
      </c>
      <c r="T142" s="1">
        <v>35</v>
      </c>
      <c r="U142" s="1">
        <v>35</v>
      </c>
      <c r="V142" s="1">
        <v>25</v>
      </c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 t="s">
        <v>161</v>
      </c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 t="s">
        <v>107</v>
      </c>
      <c r="X145" s="1">
        <v>0</v>
      </c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 t="s">
        <v>109</v>
      </c>
      <c r="X146" s="1">
        <v>1</v>
      </c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 t="s">
        <v>110</v>
      </c>
      <c r="X147" s="1">
        <v>1</v>
      </c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 t="s">
        <v>111</v>
      </c>
      <c r="X148" s="1">
        <v>1</v>
      </c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 t="s">
        <v>113</v>
      </c>
      <c r="X149" s="1">
        <v>1</v>
      </c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 t="s">
        <v>114</v>
      </c>
      <c r="X150" s="1">
        <v>1</v>
      </c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 t="s">
        <v>116</v>
      </c>
      <c r="X151" s="1">
        <v>1</v>
      </c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 t="s">
        <v>117</v>
      </c>
      <c r="X152" s="1">
        <v>0</v>
      </c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 t="s">
        <v>118</v>
      </c>
      <c r="X153" s="1">
        <v>0</v>
      </c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 t="s">
        <v>119</v>
      </c>
      <c r="X154" s="1">
        <v>0</v>
      </c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 t="s">
        <v>120</v>
      </c>
      <c r="X155" s="1">
        <v>0</v>
      </c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 t="s">
        <v>121</v>
      </c>
      <c r="X156" s="1">
        <v>0</v>
      </c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 t="s">
        <v>122</v>
      </c>
      <c r="X157" s="1">
        <v>0</v>
      </c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 t="s">
        <v>123</v>
      </c>
      <c r="X158" s="1">
        <v>0</v>
      </c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 t="s">
        <v>125</v>
      </c>
      <c r="X159" s="1">
        <v>0</v>
      </c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 t="s">
        <v>126</v>
      </c>
      <c r="X160" s="1">
        <v>0</v>
      </c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 t="s">
        <v>127</v>
      </c>
      <c r="X161" s="1">
        <v>1</v>
      </c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 t="s">
        <v>128</v>
      </c>
      <c r="X162" s="1">
        <v>0</v>
      </c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 t="s">
        <v>105</v>
      </c>
      <c r="X163" s="1">
        <v>0</v>
      </c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 t="s">
        <v>130</v>
      </c>
      <c r="X164" s="1">
        <v>0</v>
      </c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 t="s">
        <v>131</v>
      </c>
      <c r="X165" s="1">
        <v>0</v>
      </c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/>
    <row r="267" spans="1:26" ht="15.75" customHeight="1" x14ac:dyDescent="0.2"/>
    <row r="268" spans="1:26" ht="15.75" customHeight="1" x14ac:dyDescent="0.2"/>
    <row r="269" spans="1:26" ht="15.75" customHeight="1" x14ac:dyDescent="0.2"/>
    <row r="270" spans="1:26" ht="15.75" customHeight="1" x14ac:dyDescent="0.2"/>
    <row r="271" spans="1:26" ht="15.75" customHeight="1" x14ac:dyDescent="0.2"/>
    <row r="272" spans="1:26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Br1zPPbQkuoRAnU67s+wX/3bXpTBcNJJoEyKgQcnNcadRPXrYXwDQfXCQF+S7IgyOEXn++uhM5ZF+Q0AH1ikjg==" saltValue="vf/NEzr3Cmm1zvHd4CCh1Q==" spinCount="100000" sheet="1" objects="1" scenarios="1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List - !!Modifed points!!!</vt:lpstr>
      <vt:lpstr>Instruction Notes</vt:lpstr>
      <vt:lpstr>Lookup</vt:lpstr>
      <vt:lpstr>Definition</vt:lpstr>
      <vt:lpstr>FoGDrop_Down</vt:lpstr>
      <vt:lpstr>General</vt:lpstr>
      <vt:lpstr>Impact</vt:lpstr>
      <vt:lpstr>Local_language</vt:lpstr>
      <vt:lpstr>Melee</vt:lpstr>
      <vt:lpstr>Shooting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Freeman</dc:creator>
  <cp:lastModifiedBy>Paul Freeman</cp:lastModifiedBy>
  <dcterms:created xsi:type="dcterms:W3CDTF">2018-06-14T18:47:48Z</dcterms:created>
  <dcterms:modified xsi:type="dcterms:W3CDTF">2018-06-14T18:48:04Z</dcterms:modified>
</cp:coreProperties>
</file>