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Desktop\"/>
    </mc:Choice>
  </mc:AlternateContent>
  <bookViews>
    <workbookView showSheetTabs="0" xWindow="0" yWindow="0" windowWidth="28800" windowHeight="13770" tabRatio="689"/>
  </bookViews>
  <sheets>
    <sheet name="Liste Armée" sheetId="1" r:id="rId1"/>
    <sheet name="Données" sheetId="4" r:id="rId2"/>
    <sheet name="Traduction" sheetId="7" r:id="rId3"/>
    <sheet name="Read Me" sheetId="8" state="hidden" r:id="rId4"/>
    <sheet name="Francais - Evolutions" sheetId="10" state="hidden" r:id="rId5"/>
    <sheet name="English - Revisions" sheetId="9" state="hidden" r:id="rId6"/>
    <sheet name="Espanol - Revisions" sheetId="11" state="hidden" r:id="rId7"/>
    <sheet name="Deutsh- Revisions" sheetId="12" state="hidden" r:id="rId8"/>
  </sheets>
  <definedNames>
    <definedName name="_xlnm._FilterDatabase" localSheetId="0" hidden="1">'Liste Armée'!$C$22:$L$61</definedName>
    <definedName name="AllArmour">Données!$Q$23:$Q$27</definedName>
    <definedName name="AllQual">Données!$Q$60:$Q$64</definedName>
    <definedName name="AllTraining">Données!$Q$66:$Q$68</definedName>
    <definedName name="Ally">Données!$H$86:$H$88</definedName>
    <definedName name="Armure">Données!$D$86:$D$90</definedName>
    <definedName name="Attrition_Table">Données!$AE$49:$AF$72</definedName>
    <definedName name="AvQual">Données!$Q$52:$Q$53</definedName>
    <definedName name="BWGMiss">Données!$R$43:$R$46</definedName>
    <definedName name="BWGWpn">Données!$R$81:$R$82</definedName>
    <definedName name="camp">Données!$I$86:$I$87</definedName>
    <definedName name="CatArmr">Données!$Q$35:$Q$36</definedName>
    <definedName name="CatMiss">Données!$T$20:$T$22</definedName>
    <definedName name="CavArmr">Données!$Q$38:$Q$41</definedName>
    <definedName name="CavMiss">Données!$R$20:$R$24</definedName>
    <definedName name="CavWpn">Données!$R$55:$R$60</definedName>
    <definedName name="Charge">Données!$H$86:$H$93</definedName>
    <definedName name="ChWpn">Données!$R$63:$R$64</definedName>
    <definedName name="CmdCost">Données!$J$102:$K$104</definedName>
    <definedName name="Colonne_Tableau_listes">Données!$BP$2:$HJ$2</definedName>
    <definedName name="colonnes_autobreack">Données!$B$107:$L$107</definedName>
    <definedName name="Colonnes_table_budget">Données!$B$3:$H$3</definedName>
    <definedName name="Combat">Données!$Q$87:$Q$100</definedName>
    <definedName name="Divers">Données!$J$88:$J$90</definedName>
    <definedName name="Drilled">Données!$Q$66</definedName>
    <definedName name="ElQual">Données!$Q$46:$Q$49</definedName>
    <definedName name="FootMiss">Données!$R$33:$R$40</definedName>
    <definedName name="footWpn">Données!$R$66:$R$78</definedName>
    <definedName name="impact">Données!$J$22:$K$33</definedName>
    <definedName name="KnArmr">Données!$Q$30:$Q$32</definedName>
    <definedName name="KnWpn">Données!$R$49:$R$52</definedName>
    <definedName name="Language_choices">Traduction!$1:$1</definedName>
    <definedName name="LHMiss">Données!$R$27:$R$30</definedName>
    <definedName name="livret">Données!$BP$3:$BP$16</definedName>
    <definedName name="Local_language">'Liste Armée'!$L$12:$L$12</definedName>
    <definedName name="Melée">Données!$Q$1:$R$17</definedName>
    <definedName name="MobQual">Données!$Q$55:$Q$57</definedName>
    <definedName name="NoType">Données!$Q$20</definedName>
    <definedName name="ordre_de_marche">Données!$M$18:$N$56</definedName>
    <definedName name="_xlnm.Print_Area" localSheetId="0">'Liste Armée'!$B$2:$Q$62</definedName>
    <definedName name="Prix_commandant">Données!$J$97:$K$100</definedName>
    <definedName name="Quality">Données!$E$86:$E$90</definedName>
    <definedName name="ref_langue" localSheetId="7">MATCH(Local_language,Language_choices,FALSE)</definedName>
    <definedName name="ref_langue" localSheetId="5">MATCH(Local_language,Language_choices,FALSE)</definedName>
    <definedName name="ref_langue" localSheetId="6">MATCH(Local_language,Language_choices,FALSE)</definedName>
    <definedName name="ref_langue" localSheetId="4">MATCH(Local_language,Language_choices,FALSE)</definedName>
    <definedName name="ref_langue">MATCH(Local_language,Language_choices,FALSE)</definedName>
    <definedName name="ref_langue_6">MATCH(Local_language,Language_choices,FALSE)</definedName>
    <definedName name="Special">Données!$J$88:$J$90</definedName>
    <definedName name="Table_armes_impact">Données!$J$22:$K$33</definedName>
    <definedName name="Table_armes_melee">Données!$Q$1:$R$17</definedName>
    <definedName name="Table_armes_tir">Données!$J$4:$K$20</definedName>
    <definedName name="Table_budget">Données!$B$3:$H$37</definedName>
    <definedName name="Table_budget_infanterie">Données!$B$4:$G$7</definedName>
    <definedName name="table_eclaireur">Données!$M$13:$N$16</definedName>
    <definedName name="table_general">Données!$J$47:$K$51</definedName>
    <definedName name="Table_special">Données!$M$5:$N$6</definedName>
    <definedName name="tableau_autobreack">Données!$B$107:$L$112</definedName>
    <definedName name="Tableau_listes">Données!$BP$2:$HJ$16</definedName>
    <definedName name="Terrain">Données!$L$86:$L$94</definedName>
    <definedName name="Tir">Données!$G$86:$G$95</definedName>
    <definedName name="Training">Données!$F$86:$F$88</definedName>
    <definedName name="Type">Données!$C$86:$C$101</definedName>
    <definedName name="type_de_commandant">Données!$J$97:$J$100</definedName>
    <definedName name="Undrilled">Données!$Q$67</definedName>
    <definedName name="UserTable">'Liste Armée'!$C$23:$L$61</definedName>
    <definedName name="Zone_Traduction">INDIRECT(Données!$B$1)</definedName>
  </definedNames>
  <calcPr calcId="152511"/>
</workbook>
</file>

<file path=xl/calcChain.xml><?xml version="1.0" encoding="utf-8"?>
<calcChain xmlns="http://schemas.openxmlformats.org/spreadsheetml/2006/main">
  <c r="BK3" i="4" l="1"/>
  <c r="U16" i="1" l="1"/>
  <c r="U18" i="1"/>
  <c r="U19" i="1"/>
  <c r="U17" i="1"/>
  <c r="Q98" i="4" l="1"/>
  <c r="R75" i="4"/>
  <c r="O33" i="1" l="1"/>
  <c r="P39" i="1"/>
  <c r="BI29" i="4" s="1"/>
  <c r="P41" i="1"/>
  <c r="BI31" i="4" s="1"/>
  <c r="P47" i="1"/>
  <c r="BI37" i="4" s="1"/>
  <c r="P48" i="1"/>
  <c r="BI38" i="4" s="1"/>
  <c r="P49" i="1"/>
  <c r="BI39" i="4" s="1"/>
  <c r="P50" i="1"/>
  <c r="BI40" i="4" s="1"/>
  <c r="P51" i="1"/>
  <c r="BI41" i="4" s="1"/>
  <c r="P52" i="1"/>
  <c r="BI42" i="4" s="1"/>
  <c r="P53" i="1"/>
  <c r="BI43" i="4" s="1"/>
  <c r="P54" i="1"/>
  <c r="BI44" i="4" s="1"/>
  <c r="P55" i="1"/>
  <c r="BI45" i="4" s="1"/>
  <c r="P56" i="1"/>
  <c r="BI46" i="4" s="1"/>
  <c r="P57" i="1"/>
  <c r="BI47" i="4" s="1"/>
  <c r="P58" i="1"/>
  <c r="BI48" i="4" s="1"/>
  <c r="P59" i="1"/>
  <c r="BI49" i="4" s="1"/>
  <c r="P60" i="1"/>
  <c r="BI50" i="4" s="1"/>
  <c r="P61" i="1"/>
  <c r="BI51" i="4" s="1"/>
  <c r="S43" i="1" l="1"/>
  <c r="T43" i="1"/>
  <c r="W43" i="1"/>
  <c r="X43" i="1"/>
  <c r="O32" i="1"/>
  <c r="S41" i="1"/>
  <c r="T41" i="1"/>
  <c r="W41" i="1"/>
  <c r="X41" i="1"/>
  <c r="O47" i="1"/>
  <c r="S47" i="1"/>
  <c r="T47" i="1"/>
  <c r="W47" i="1"/>
  <c r="X47" i="1"/>
  <c r="O45" i="1"/>
  <c r="O46" i="1"/>
  <c r="O48" i="1"/>
  <c r="O49" i="1"/>
  <c r="O50" i="1"/>
  <c r="O51" i="1"/>
  <c r="O52" i="1"/>
  <c r="O53" i="1"/>
  <c r="S46" i="1"/>
  <c r="T46" i="1"/>
  <c r="W46" i="1"/>
  <c r="X46" i="1"/>
  <c r="S48" i="1"/>
  <c r="T48" i="1"/>
  <c r="W48" i="1"/>
  <c r="X48" i="1"/>
  <c r="S49" i="1"/>
  <c r="T49" i="1"/>
  <c r="W49" i="1"/>
  <c r="X49" i="1"/>
  <c r="S50" i="1"/>
  <c r="T50" i="1"/>
  <c r="W50" i="1"/>
  <c r="X50" i="1"/>
  <c r="S51" i="1"/>
  <c r="T51" i="1"/>
  <c r="W51" i="1"/>
  <c r="X51" i="1"/>
  <c r="S52" i="1"/>
  <c r="T52" i="1"/>
  <c r="W52" i="1"/>
  <c r="X52" i="1"/>
  <c r="S53" i="1"/>
  <c r="T53" i="1"/>
  <c r="W53" i="1"/>
  <c r="X53" i="1"/>
  <c r="O54" i="1"/>
  <c r="S54" i="1"/>
  <c r="T54" i="1"/>
  <c r="W54" i="1"/>
  <c r="X54" i="1"/>
  <c r="O24" i="1"/>
  <c r="S42" i="1"/>
  <c r="T42" i="1"/>
  <c r="W42" i="1"/>
  <c r="X42" i="1"/>
  <c r="O44" i="1"/>
  <c r="S44" i="1"/>
  <c r="T44" i="1"/>
  <c r="W44" i="1"/>
  <c r="X44" i="1"/>
  <c r="S45" i="1"/>
  <c r="T45" i="1"/>
  <c r="W45" i="1"/>
  <c r="X45" i="1"/>
  <c r="O55" i="1"/>
  <c r="S55" i="1"/>
  <c r="T55" i="1"/>
  <c r="W55" i="1"/>
  <c r="X55" i="1"/>
  <c r="O56" i="1"/>
  <c r="S56" i="1"/>
  <c r="T56" i="1"/>
  <c r="W56" i="1"/>
  <c r="X56" i="1"/>
  <c r="O31" i="1"/>
  <c r="S40" i="1"/>
  <c r="T40" i="1"/>
  <c r="W40" i="1"/>
  <c r="X40" i="1"/>
  <c r="O57" i="1"/>
  <c r="S57" i="1"/>
  <c r="T57" i="1"/>
  <c r="W57" i="1"/>
  <c r="X57" i="1"/>
  <c r="O58" i="1"/>
  <c r="S58" i="1"/>
  <c r="T58" i="1"/>
  <c r="W58" i="1"/>
  <c r="X58" i="1"/>
  <c r="O59" i="1"/>
  <c r="S59" i="1"/>
  <c r="T59" i="1"/>
  <c r="W59" i="1"/>
  <c r="X59" i="1"/>
  <c r="O60" i="1"/>
  <c r="S60" i="1"/>
  <c r="T60" i="1"/>
  <c r="W60" i="1"/>
  <c r="X60" i="1"/>
  <c r="O28" i="1"/>
  <c r="S35" i="1"/>
  <c r="T35" i="1"/>
  <c r="W35" i="1"/>
  <c r="X35" i="1"/>
  <c r="O43" i="1"/>
  <c r="O27" i="1"/>
  <c r="O25" i="1"/>
  <c r="O26" i="1"/>
  <c r="G18" i="1"/>
  <c r="G16" i="1"/>
  <c r="W10" i="1" s="1"/>
  <c r="O23" i="1" l="1"/>
  <c r="B1" i="4"/>
  <c r="O13" i="8"/>
  <c r="N13" i="8"/>
  <c r="M13" i="8"/>
  <c r="M12" i="8"/>
  <c r="O37" i="1"/>
  <c r="O40" i="1"/>
  <c r="O42" i="1"/>
  <c r="O39" i="1"/>
  <c r="O41" i="1"/>
  <c r="O35" i="1"/>
  <c r="O36" i="1"/>
  <c r="O29" i="1"/>
  <c r="O30" i="1"/>
  <c r="O61" i="1"/>
  <c r="O38" i="1"/>
  <c r="T25" i="1"/>
  <c r="T26" i="1"/>
  <c r="T27" i="1"/>
  <c r="T28" i="1"/>
  <c r="T29" i="1"/>
  <c r="T30" i="1"/>
  <c r="T31" i="1"/>
  <c r="T32" i="1"/>
  <c r="T33" i="1"/>
  <c r="T34" i="1"/>
  <c r="T36" i="1"/>
  <c r="T37" i="1"/>
  <c r="T38" i="1"/>
  <c r="T39" i="1"/>
  <c r="T61" i="1"/>
  <c r="T24" i="1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13" i="4"/>
  <c r="T23" i="1"/>
  <c r="V19" i="1"/>
  <c r="N19" i="1" s="1"/>
  <c r="V17" i="1"/>
  <c r="N17" i="1" s="1"/>
  <c r="V18" i="1"/>
  <c r="N18" i="1" s="1"/>
  <c r="V16" i="1"/>
  <c r="N16" i="1" s="1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S61" i="1"/>
  <c r="W61" i="1"/>
  <c r="X61" i="1"/>
  <c r="S24" i="1"/>
  <c r="S25" i="1"/>
  <c r="S26" i="1"/>
  <c r="S27" i="1"/>
  <c r="S28" i="1"/>
  <c r="S29" i="1"/>
  <c r="S30" i="1"/>
  <c r="S31" i="1"/>
  <c r="S32" i="1"/>
  <c r="S33" i="1"/>
  <c r="S34" i="1"/>
  <c r="S36" i="1"/>
  <c r="S37" i="1"/>
  <c r="S38" i="1"/>
  <c r="S39" i="1"/>
  <c r="S23" i="1"/>
  <c r="X39" i="1"/>
  <c r="W39" i="1"/>
  <c r="X38" i="1"/>
  <c r="W38" i="1"/>
  <c r="X37" i="1"/>
  <c r="W37" i="1"/>
  <c r="X36" i="1"/>
  <c r="W36" i="1"/>
  <c r="X34" i="1"/>
  <c r="W34" i="1"/>
  <c r="X33" i="1"/>
  <c r="W33" i="1"/>
  <c r="X32" i="1"/>
  <c r="W32" i="1"/>
  <c r="X31" i="1"/>
  <c r="W31" i="1"/>
  <c r="X30" i="1"/>
  <c r="W30" i="1"/>
  <c r="X29" i="1"/>
  <c r="W29" i="1"/>
  <c r="X28" i="1"/>
  <c r="W28" i="1"/>
  <c r="X27" i="1"/>
  <c r="W27" i="1"/>
  <c r="X26" i="1"/>
  <c r="W26" i="1"/>
  <c r="X25" i="1"/>
  <c r="W25" i="1"/>
  <c r="X24" i="1"/>
  <c r="W24" i="1"/>
  <c r="X23" i="1"/>
  <c r="W23" i="1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13" i="4"/>
  <c r="AG4" i="4"/>
  <c r="AR38" i="4"/>
  <c r="AS39" i="4"/>
  <c r="AT39" i="4"/>
  <c r="AU39" i="4"/>
  <c r="AT40" i="4"/>
  <c r="AU40" i="4"/>
  <c r="AU41" i="4"/>
  <c r="AV41" i="4"/>
  <c r="AV42" i="4"/>
  <c r="AW42" i="4"/>
  <c r="AW43" i="4"/>
  <c r="AX43" i="4"/>
  <c r="AX44" i="4"/>
  <c r="AY44" i="4"/>
  <c r="AY45" i="4"/>
  <c r="AZ45" i="4"/>
  <c r="AZ46" i="4"/>
  <c r="BA46" i="4"/>
  <c r="BB46" i="4"/>
  <c r="BA47" i="4"/>
  <c r="BB47" i="4"/>
  <c r="BB48" i="4"/>
  <c r="BC48" i="4"/>
  <c r="AQ37" i="4"/>
  <c r="AR37" i="4"/>
  <c r="AS37" i="4"/>
  <c r="AT37" i="4"/>
  <c r="AP36" i="4"/>
  <c r="AQ36" i="4"/>
  <c r="AR36" i="4"/>
  <c r="AS36" i="4"/>
  <c r="AO35" i="4"/>
  <c r="AP35" i="4"/>
  <c r="AQ35" i="4"/>
  <c r="AR35" i="4"/>
  <c r="AN34" i="4"/>
  <c r="AO34" i="4"/>
  <c r="AP34" i="4"/>
  <c r="AM33" i="4"/>
  <c r="AN33" i="4"/>
  <c r="AL32" i="4"/>
  <c r="AM32" i="4"/>
  <c r="AN32" i="4"/>
  <c r="AO32" i="4"/>
  <c r="AP32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AG52" i="4"/>
  <c r="AF52" i="4" s="1"/>
  <c r="AH18" i="4"/>
  <c r="AH66" i="4"/>
  <c r="AI18" i="4"/>
  <c r="AI66" i="4"/>
  <c r="AJ18" i="4"/>
  <c r="AJ66" i="4"/>
  <c r="AK18" i="4"/>
  <c r="AK66" i="4"/>
  <c r="AL18" i="4"/>
  <c r="AL66" i="4"/>
  <c r="AM18" i="4"/>
  <c r="AM66" i="4"/>
  <c r="AN18" i="4"/>
  <c r="AN66" i="4"/>
  <c r="AO18" i="4"/>
  <c r="AO66" i="4"/>
  <c r="AP18" i="4"/>
  <c r="AP66" i="4"/>
  <c r="AQ18" i="4"/>
  <c r="AQ66" i="4"/>
  <c r="AR18" i="4"/>
  <c r="AR66" i="4"/>
  <c r="AS18" i="4"/>
  <c r="AS66" i="4"/>
  <c r="AT18" i="4"/>
  <c r="AT66" i="4"/>
  <c r="AU18" i="4"/>
  <c r="AU66" i="4"/>
  <c r="AH19" i="4"/>
  <c r="AH67" i="4"/>
  <c r="AI19" i="4"/>
  <c r="AI67" i="4"/>
  <c r="AJ19" i="4"/>
  <c r="AJ67" i="4"/>
  <c r="AK19" i="4"/>
  <c r="AK67" i="4"/>
  <c r="AL19" i="4"/>
  <c r="AL67" i="4"/>
  <c r="AM19" i="4"/>
  <c r="AM67" i="4"/>
  <c r="AN19" i="4"/>
  <c r="AN67" i="4"/>
  <c r="AO19" i="4"/>
  <c r="AO67" i="4"/>
  <c r="AP19" i="4"/>
  <c r="AP67" i="4"/>
  <c r="AQ19" i="4"/>
  <c r="AQ67" i="4"/>
  <c r="AR19" i="4"/>
  <c r="AR67" i="4"/>
  <c r="AS19" i="4"/>
  <c r="AS67" i="4"/>
  <c r="AT19" i="4"/>
  <c r="AT67" i="4"/>
  <c r="AU19" i="4"/>
  <c r="AU67" i="4"/>
  <c r="AV19" i="4"/>
  <c r="AV67" i="4"/>
  <c r="AH20" i="4"/>
  <c r="AH68" i="4"/>
  <c r="AI20" i="4"/>
  <c r="AI68" i="4"/>
  <c r="AJ20" i="4"/>
  <c r="AJ68" i="4"/>
  <c r="AK20" i="4"/>
  <c r="AK68" i="4"/>
  <c r="AL20" i="4"/>
  <c r="AL68" i="4"/>
  <c r="AM20" i="4"/>
  <c r="AM68" i="4"/>
  <c r="AN20" i="4"/>
  <c r="AN68" i="4"/>
  <c r="AO20" i="4"/>
  <c r="AO68" i="4"/>
  <c r="AP20" i="4"/>
  <c r="AP68" i="4"/>
  <c r="AQ20" i="4"/>
  <c r="AQ68" i="4"/>
  <c r="AR20" i="4"/>
  <c r="AR68" i="4"/>
  <c r="AS20" i="4"/>
  <c r="AS68" i="4"/>
  <c r="AT20" i="4"/>
  <c r="AT68" i="4"/>
  <c r="AU20" i="4"/>
  <c r="AU68" i="4"/>
  <c r="AV20" i="4"/>
  <c r="AV68" i="4"/>
  <c r="AW20" i="4"/>
  <c r="AW68" i="4"/>
  <c r="AH21" i="4"/>
  <c r="AH69" i="4"/>
  <c r="AI21" i="4"/>
  <c r="AI69" i="4"/>
  <c r="AJ21" i="4"/>
  <c r="AJ69" i="4"/>
  <c r="AK21" i="4"/>
  <c r="AK69" i="4"/>
  <c r="AL21" i="4"/>
  <c r="AL69" i="4"/>
  <c r="AM21" i="4"/>
  <c r="AM69" i="4"/>
  <c r="AN21" i="4"/>
  <c r="AN69" i="4"/>
  <c r="AO21" i="4"/>
  <c r="AO69" i="4"/>
  <c r="AP21" i="4"/>
  <c r="AP69" i="4"/>
  <c r="AQ21" i="4"/>
  <c r="AQ69" i="4"/>
  <c r="AR21" i="4"/>
  <c r="AR69" i="4"/>
  <c r="AS21" i="4"/>
  <c r="AS69" i="4"/>
  <c r="AT21" i="4"/>
  <c r="AT69" i="4"/>
  <c r="AU21" i="4"/>
  <c r="AU69" i="4"/>
  <c r="AV21" i="4"/>
  <c r="AV69" i="4"/>
  <c r="AW21" i="4"/>
  <c r="AW69" i="4"/>
  <c r="AX21" i="4"/>
  <c r="AX69" i="4"/>
  <c r="AH22" i="4"/>
  <c r="AH70" i="4"/>
  <c r="AI22" i="4"/>
  <c r="AI70" i="4"/>
  <c r="AJ22" i="4"/>
  <c r="AJ70" i="4"/>
  <c r="AG70" i="4"/>
  <c r="AK70" i="4"/>
  <c r="AL70" i="4"/>
  <c r="AM70" i="4"/>
  <c r="AN70" i="4"/>
  <c r="AO70" i="4"/>
  <c r="AP70" i="4"/>
  <c r="AQ70" i="4"/>
  <c r="AR70" i="4"/>
  <c r="AS70" i="4"/>
  <c r="AT70" i="4"/>
  <c r="AU70" i="4"/>
  <c r="AV70" i="4"/>
  <c r="AW70" i="4"/>
  <c r="AX70" i="4"/>
  <c r="AY70" i="4"/>
  <c r="AK22" i="4"/>
  <c r="AL22" i="4"/>
  <c r="AM22" i="4"/>
  <c r="AN22" i="4"/>
  <c r="AO22" i="4"/>
  <c r="AP22" i="4"/>
  <c r="AQ22" i="4"/>
  <c r="AR22" i="4"/>
  <c r="AS22" i="4"/>
  <c r="AT22" i="4"/>
  <c r="AU22" i="4"/>
  <c r="AV22" i="4"/>
  <c r="AW22" i="4"/>
  <c r="AX22" i="4"/>
  <c r="AY22" i="4"/>
  <c r="AH23" i="4"/>
  <c r="AH71" i="4"/>
  <c r="AI23" i="4"/>
  <c r="AI71" i="4"/>
  <c r="AJ23" i="4"/>
  <c r="AJ71" i="4"/>
  <c r="AG71" i="4"/>
  <c r="AK71" i="4"/>
  <c r="AL71" i="4"/>
  <c r="AM71" i="4"/>
  <c r="AN71" i="4"/>
  <c r="AO71" i="4"/>
  <c r="AP71" i="4"/>
  <c r="AQ71" i="4"/>
  <c r="AR71" i="4"/>
  <c r="AS71" i="4"/>
  <c r="AT71" i="4"/>
  <c r="AU71" i="4"/>
  <c r="AV71" i="4"/>
  <c r="AW71" i="4"/>
  <c r="AX71" i="4"/>
  <c r="AY71" i="4"/>
  <c r="AZ71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X23" i="4"/>
  <c r="AY23" i="4"/>
  <c r="AZ23" i="4"/>
  <c r="AH24" i="4"/>
  <c r="AH72" i="4"/>
  <c r="AI24" i="4"/>
  <c r="AI72" i="4"/>
  <c r="AG72" i="4"/>
  <c r="AJ72" i="4"/>
  <c r="AK72" i="4"/>
  <c r="AL72" i="4"/>
  <c r="AM72" i="4"/>
  <c r="AN72" i="4"/>
  <c r="AO72" i="4"/>
  <c r="AP72" i="4"/>
  <c r="AQ72" i="4"/>
  <c r="AR72" i="4"/>
  <c r="AS72" i="4"/>
  <c r="AT72" i="4"/>
  <c r="AU72" i="4"/>
  <c r="AV72" i="4"/>
  <c r="AW72" i="4"/>
  <c r="AX72" i="4"/>
  <c r="AY72" i="4"/>
  <c r="AZ72" i="4"/>
  <c r="BA72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AH17" i="4"/>
  <c r="AH65" i="4"/>
  <c r="AI17" i="4"/>
  <c r="AI65" i="4"/>
  <c r="AJ17" i="4"/>
  <c r="AJ65" i="4"/>
  <c r="AK17" i="4"/>
  <c r="AK65" i="4"/>
  <c r="AL17" i="4"/>
  <c r="AL65" i="4"/>
  <c r="AM17" i="4"/>
  <c r="AM65" i="4"/>
  <c r="AN17" i="4"/>
  <c r="AN65" i="4"/>
  <c r="AO17" i="4"/>
  <c r="AO65" i="4"/>
  <c r="AP17" i="4"/>
  <c r="AP65" i="4"/>
  <c r="AQ17" i="4"/>
  <c r="AQ65" i="4"/>
  <c r="AR17" i="4"/>
  <c r="AR65" i="4"/>
  <c r="AS17" i="4"/>
  <c r="AS65" i="4"/>
  <c r="AT17" i="4"/>
  <c r="AT65" i="4"/>
  <c r="AH16" i="4"/>
  <c r="AH64" i="4"/>
  <c r="AI16" i="4"/>
  <c r="AI64" i="4"/>
  <c r="AG64" i="4"/>
  <c r="AJ64" i="4"/>
  <c r="AK64" i="4"/>
  <c r="AL64" i="4"/>
  <c r="AM64" i="4"/>
  <c r="AN64" i="4"/>
  <c r="AO64" i="4"/>
  <c r="AP64" i="4"/>
  <c r="AQ64" i="4"/>
  <c r="AR64" i="4"/>
  <c r="AS64" i="4"/>
  <c r="AJ16" i="4"/>
  <c r="AK16" i="4"/>
  <c r="AL16" i="4"/>
  <c r="AM16" i="4"/>
  <c r="AN16" i="4"/>
  <c r="AO16" i="4"/>
  <c r="AP16" i="4"/>
  <c r="AQ16" i="4"/>
  <c r="AR16" i="4"/>
  <c r="AS16" i="4"/>
  <c r="AH15" i="4"/>
  <c r="AH63" i="4"/>
  <c r="AI15" i="4"/>
  <c r="AI63" i="4"/>
  <c r="AG63" i="4"/>
  <c r="AJ63" i="4"/>
  <c r="AK63" i="4"/>
  <c r="AL63" i="4"/>
  <c r="AM63" i="4"/>
  <c r="AN63" i="4"/>
  <c r="AO63" i="4"/>
  <c r="AP63" i="4"/>
  <c r="AQ63" i="4"/>
  <c r="AR63" i="4"/>
  <c r="AJ15" i="4"/>
  <c r="AK15" i="4"/>
  <c r="AL15" i="4"/>
  <c r="AM15" i="4"/>
  <c r="AN15" i="4"/>
  <c r="AO15" i="4"/>
  <c r="AP15" i="4"/>
  <c r="AQ15" i="4"/>
  <c r="AR15" i="4"/>
  <c r="AH14" i="4"/>
  <c r="AH62" i="4"/>
  <c r="AI14" i="4"/>
  <c r="AI62" i="4"/>
  <c r="AJ14" i="4"/>
  <c r="AJ62" i="4"/>
  <c r="AK14" i="4"/>
  <c r="AK62" i="4"/>
  <c r="AL14" i="4"/>
  <c r="AL62" i="4"/>
  <c r="AM14" i="4"/>
  <c r="AM62" i="4"/>
  <c r="AN14" i="4"/>
  <c r="AN62" i="4"/>
  <c r="AO14" i="4"/>
  <c r="AO62" i="4"/>
  <c r="AP14" i="4"/>
  <c r="AP62" i="4"/>
  <c r="AQ14" i="4"/>
  <c r="AQ62" i="4"/>
  <c r="AM10" i="4"/>
  <c r="AM58" i="4"/>
  <c r="AH11" i="4"/>
  <c r="AH35" i="4" s="1"/>
  <c r="AH59" i="4" s="1"/>
  <c r="AI11" i="4"/>
  <c r="AI59" i="4"/>
  <c r="AJ11" i="4"/>
  <c r="AJ59" i="4"/>
  <c r="AK11" i="4"/>
  <c r="AK59" i="4"/>
  <c r="AL11" i="4"/>
  <c r="AL59" i="4"/>
  <c r="AM11" i="4"/>
  <c r="AM59" i="4"/>
  <c r="AN11" i="4"/>
  <c r="AN59" i="4"/>
  <c r="AH10" i="4"/>
  <c r="AH34" i="4" s="1"/>
  <c r="AH58" i="4" s="1"/>
  <c r="AI10" i="4"/>
  <c r="AI58" i="4"/>
  <c r="AJ10" i="4"/>
  <c r="AJ58" i="4"/>
  <c r="AK10" i="4"/>
  <c r="AK58" i="4"/>
  <c r="AL10" i="4"/>
  <c r="AL58" i="4"/>
  <c r="AH9" i="4"/>
  <c r="AH57" i="4"/>
  <c r="AI9" i="4"/>
  <c r="AI57" i="4"/>
  <c r="AJ9" i="4"/>
  <c r="AJ57" i="4"/>
  <c r="AK9" i="4"/>
  <c r="AK57" i="4"/>
  <c r="AL9" i="4"/>
  <c r="AL57" i="4"/>
  <c r="AH8" i="4"/>
  <c r="AH56" i="4"/>
  <c r="AI8" i="4"/>
  <c r="AI56" i="4"/>
  <c r="AJ8" i="4"/>
  <c r="AJ56" i="4"/>
  <c r="AK8" i="4"/>
  <c r="AK56" i="4"/>
  <c r="AH7" i="4"/>
  <c r="AH55" i="4"/>
  <c r="AI7" i="4"/>
  <c r="AI55" i="4"/>
  <c r="AJ7" i="4"/>
  <c r="AJ55" i="4"/>
  <c r="AH6" i="4"/>
  <c r="AH54" i="4"/>
  <c r="AI6" i="4"/>
  <c r="AI54" i="4"/>
  <c r="AH5" i="4"/>
  <c r="AH53" i="4"/>
  <c r="AG5" i="4"/>
  <c r="AG53" i="4"/>
  <c r="AG6" i="4"/>
  <c r="AG54" i="4"/>
  <c r="AG7" i="4"/>
  <c r="AG55" i="4"/>
  <c r="AG8" i="4"/>
  <c r="AG56" i="4"/>
  <c r="AF56" i="4" s="1"/>
  <c r="AG9" i="4"/>
  <c r="AG57" i="4"/>
  <c r="AG10" i="4"/>
  <c r="AG34" i="4" s="1"/>
  <c r="AG58" i="4" s="1"/>
  <c r="AG11" i="4"/>
  <c r="AG35" i="4" s="1"/>
  <c r="AG59" i="4" s="1"/>
  <c r="AH25" i="4"/>
  <c r="AH73" i="4"/>
  <c r="AI25" i="4"/>
  <c r="AI73" i="4"/>
  <c r="AJ25" i="4"/>
  <c r="AJ73" i="4"/>
  <c r="AK25" i="4"/>
  <c r="AK73" i="4"/>
  <c r="AL25" i="4"/>
  <c r="AL73" i="4"/>
  <c r="AM25" i="4"/>
  <c r="AM73" i="4"/>
  <c r="AN25" i="4"/>
  <c r="AN73" i="4"/>
  <c r="AO25" i="4"/>
  <c r="AO73" i="4"/>
  <c r="AP25" i="4"/>
  <c r="AP73" i="4"/>
  <c r="AQ25" i="4"/>
  <c r="AQ73" i="4"/>
  <c r="AR25" i="4"/>
  <c r="AR73" i="4"/>
  <c r="AS25" i="4"/>
  <c r="AS73" i="4"/>
  <c r="AT25" i="4"/>
  <c r="AT73" i="4"/>
  <c r="AU25" i="4"/>
  <c r="AU73" i="4"/>
  <c r="AV25" i="4"/>
  <c r="AV73" i="4"/>
  <c r="AW25" i="4"/>
  <c r="AW73" i="4"/>
  <c r="AX25" i="4"/>
  <c r="AX73" i="4"/>
  <c r="AY25" i="4"/>
  <c r="AY73" i="4"/>
  <c r="AZ25" i="4"/>
  <c r="AZ73" i="4"/>
  <c r="BA25" i="4"/>
  <c r="BA73" i="4"/>
  <c r="BB25" i="4"/>
  <c r="BB73" i="4"/>
  <c r="AG14" i="4"/>
  <c r="AG62" i="4"/>
  <c r="AG15" i="4"/>
  <c r="AG16" i="4"/>
  <c r="AG17" i="4"/>
  <c r="AG65" i="4"/>
  <c r="AG18" i="4"/>
  <c r="AG66" i="4"/>
  <c r="AG19" i="4"/>
  <c r="AG67" i="4"/>
  <c r="AG20" i="4"/>
  <c r="AG68" i="4"/>
  <c r="AG21" i="4"/>
  <c r="AG69" i="4"/>
  <c r="AG22" i="4"/>
  <c r="AG23" i="4"/>
  <c r="AG24" i="4"/>
  <c r="AG25" i="4"/>
  <c r="AG73" i="4"/>
  <c r="AH13" i="4"/>
  <c r="AH61" i="4"/>
  <c r="AI13" i="4"/>
  <c r="AI61" i="4"/>
  <c r="AJ13" i="4"/>
  <c r="AJ61" i="4"/>
  <c r="AK13" i="4"/>
  <c r="AK61" i="4"/>
  <c r="AL13" i="4"/>
  <c r="AL61" i="4"/>
  <c r="AM13" i="4"/>
  <c r="AM61" i="4"/>
  <c r="AN13" i="4"/>
  <c r="AN61" i="4"/>
  <c r="AO13" i="4"/>
  <c r="AO61" i="4"/>
  <c r="AP13" i="4"/>
  <c r="AP61" i="4"/>
  <c r="AG13" i="4"/>
  <c r="AG37" i="4" s="1"/>
  <c r="AG61" i="4" s="1"/>
  <c r="AG12" i="4"/>
  <c r="AG36" i="4" s="1"/>
  <c r="AG60" i="4" s="1"/>
  <c r="AH60" i="4"/>
  <c r="AI60" i="4"/>
  <c r="AJ60" i="4"/>
  <c r="AK60" i="4"/>
  <c r="AL60" i="4"/>
  <c r="AM60" i="4"/>
  <c r="AN60" i="4"/>
  <c r="AO60" i="4"/>
  <c r="AH12" i="4"/>
  <c r="AI12" i="4"/>
  <c r="AJ12" i="4"/>
  <c r="AK12" i="4"/>
  <c r="AL12" i="4"/>
  <c r="AM12" i="4"/>
  <c r="AN12" i="4"/>
  <c r="AO12" i="4"/>
  <c r="B53" i="4"/>
  <c r="B54" i="4"/>
  <c r="B55" i="4"/>
  <c r="B56" i="4"/>
  <c r="B57" i="4"/>
  <c r="B58" i="4"/>
  <c r="B59" i="4"/>
  <c r="B60" i="4"/>
  <c r="B61" i="4"/>
  <c r="B63" i="4"/>
  <c r="B64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65" i="4"/>
  <c r="B62" i="4"/>
  <c r="O34" i="1"/>
  <c r="BM5" i="4"/>
  <c r="N15" i="1"/>
  <c r="B15" i="4"/>
  <c r="C3" i="4"/>
  <c r="D86" i="4"/>
  <c r="Q23" i="4"/>
  <c r="T33" i="4"/>
  <c r="C18" i="1"/>
  <c r="J30" i="4"/>
  <c r="B25" i="4"/>
  <c r="B8" i="4"/>
  <c r="L88" i="4"/>
  <c r="D89" i="4"/>
  <c r="Q63" i="4"/>
  <c r="T50" i="4"/>
  <c r="Q16" i="4"/>
  <c r="T58" i="4"/>
  <c r="B17" i="4"/>
  <c r="E3" i="4"/>
  <c r="L93" i="4"/>
  <c r="G94" i="4"/>
  <c r="T31" i="4"/>
  <c r="J5" i="1"/>
  <c r="G9" i="1"/>
  <c r="B34" i="4"/>
  <c r="B10" i="4"/>
  <c r="L87" i="4"/>
  <c r="D88" i="4"/>
  <c r="Q61" i="4"/>
  <c r="T48" i="4"/>
  <c r="C16" i="1"/>
  <c r="C15" i="1"/>
  <c r="B11" i="4"/>
  <c r="G87" i="4"/>
  <c r="I87" i="4"/>
  <c r="Q60" i="4"/>
  <c r="T47" i="4"/>
  <c r="J16" i="4"/>
  <c r="F15" i="1"/>
  <c r="B21" i="4"/>
  <c r="B4" i="4"/>
  <c r="L90" i="4"/>
  <c r="G91" i="4"/>
  <c r="T28" i="4"/>
  <c r="T55" i="4"/>
  <c r="C20" i="1"/>
  <c r="L15" i="1"/>
  <c r="B13" i="4"/>
  <c r="I86" i="4"/>
  <c r="D87" i="4"/>
  <c r="Q25" i="4"/>
  <c r="T35" i="4"/>
  <c r="G15" i="1"/>
  <c r="J9" i="4"/>
  <c r="B23" i="4"/>
  <c r="B6" i="4"/>
  <c r="J89" i="4"/>
  <c r="L89" i="4"/>
  <c r="Q67" i="4"/>
  <c r="T53" i="4"/>
  <c r="J11" i="4"/>
  <c r="B7" i="4"/>
  <c r="E89" i="4"/>
  <c r="G89" i="4"/>
  <c r="Q66" i="4"/>
  <c r="T51" i="4"/>
  <c r="F11" i="11"/>
  <c r="T57" i="4"/>
  <c r="B16" i="4"/>
  <c r="D3" i="4"/>
  <c r="L94" i="4"/>
  <c r="G95" i="4"/>
  <c r="T32" i="4"/>
  <c r="J17" i="4"/>
  <c r="Q6" i="4"/>
  <c r="B26" i="4"/>
  <c r="B9" i="4"/>
  <c r="E88" i="4"/>
  <c r="G88" i="4"/>
  <c r="Q62" i="4"/>
  <c r="T49" i="4"/>
  <c r="Q8" i="4"/>
  <c r="E21" i="1"/>
  <c r="B18" i="4"/>
  <c r="F3" i="4"/>
  <c r="L92" i="4"/>
  <c r="G93" i="4"/>
  <c r="T30" i="4"/>
  <c r="T56" i="4"/>
  <c r="L7" i="1"/>
  <c r="B20" i="4"/>
  <c r="G3" i="4"/>
  <c r="L91" i="4"/>
  <c r="G92" i="4"/>
  <c r="T29" i="4"/>
  <c r="T52" i="4"/>
  <c r="J18" i="4"/>
  <c r="H14" i="1"/>
  <c r="B12" i="4"/>
  <c r="E87" i="4"/>
  <c r="F87" i="4"/>
  <c r="Q26" i="4"/>
  <c r="T46" i="4"/>
  <c r="G5" i="1"/>
  <c r="J6" i="4"/>
  <c r="B22" i="4"/>
  <c r="B5" i="4"/>
  <c r="G90" i="4"/>
  <c r="J90" i="4"/>
  <c r="T27" i="4"/>
  <c r="T54" i="4"/>
  <c r="Q15" i="4"/>
  <c r="C14" i="1"/>
  <c r="B14" i="4"/>
  <c r="E86" i="4"/>
  <c r="F86" i="4"/>
  <c r="Q24" i="4"/>
  <c r="T34" i="4"/>
  <c r="J10" i="4"/>
  <c r="J23" i="4"/>
  <c r="B24" i="4"/>
  <c r="Q99" i="4" l="1"/>
  <c r="R76" i="4"/>
  <c r="Q100" i="4"/>
  <c r="Q97" i="4"/>
  <c r="Q96" i="4"/>
  <c r="Q95" i="4"/>
  <c r="Q94" i="4"/>
  <c r="Q93" i="4"/>
  <c r="Q92" i="4"/>
  <c r="Q91" i="4"/>
  <c r="Q90" i="4"/>
  <c r="Q89" i="4"/>
  <c r="Q88" i="4"/>
  <c r="R81" i="4"/>
  <c r="R77" i="4"/>
  <c r="R74" i="4"/>
  <c r="R73" i="4"/>
  <c r="R72" i="4"/>
  <c r="R71" i="4"/>
  <c r="R70" i="4"/>
  <c r="R69" i="4"/>
  <c r="R68" i="4"/>
  <c r="R67" i="4"/>
  <c r="R66" i="4"/>
  <c r="R63" i="4"/>
  <c r="R59" i="4"/>
  <c r="R58" i="4"/>
  <c r="R57" i="4"/>
  <c r="R56" i="4"/>
  <c r="R55" i="4"/>
  <c r="R51" i="4"/>
  <c r="R50" i="4"/>
  <c r="R49" i="4"/>
  <c r="R35" i="4"/>
  <c r="R45" i="4"/>
  <c r="R38" i="4"/>
  <c r="R37" i="4"/>
  <c r="R28" i="4"/>
  <c r="R39" i="4"/>
  <c r="R23" i="4"/>
  <c r="R36" i="4"/>
  <c r="R29" i="4"/>
  <c r="R22" i="4"/>
  <c r="R44" i="4"/>
  <c r="R34" i="4"/>
  <c r="T20" i="4"/>
  <c r="R21" i="4"/>
  <c r="R43" i="4"/>
  <c r="R27" i="4"/>
  <c r="R20" i="4"/>
  <c r="R33" i="4"/>
  <c r="T21" i="4"/>
  <c r="Q48" i="4"/>
  <c r="Q56" i="4"/>
  <c r="Q55" i="4"/>
  <c r="Q52" i="4"/>
  <c r="Q47" i="4"/>
  <c r="Q46" i="4"/>
  <c r="Q40" i="4"/>
  <c r="Q39" i="4"/>
  <c r="Q38" i="4"/>
  <c r="Q31" i="4"/>
  <c r="Q35" i="4"/>
  <c r="Q30" i="4"/>
  <c r="AF69" i="4"/>
  <c r="AF67" i="4"/>
  <c r="AF61" i="4"/>
  <c r="AF62" i="4"/>
  <c r="AF57" i="4"/>
  <c r="BN8" i="4"/>
  <c r="BN7" i="4" s="1"/>
  <c r="BM6" i="4" s="1"/>
  <c r="L8" i="1" s="1"/>
  <c r="AF73" i="4"/>
  <c r="AF59" i="4"/>
  <c r="AF68" i="4"/>
  <c r="AF66" i="4"/>
  <c r="AF60" i="4"/>
  <c r="AF58" i="4"/>
  <c r="AF70" i="4"/>
  <c r="AF63" i="4"/>
  <c r="AF72" i="4"/>
  <c r="AF65" i="4"/>
  <c r="AF64" i="4"/>
  <c r="AF71" i="4"/>
  <c r="B52" i="4" l="1"/>
  <c r="Q3" i="4"/>
  <c r="I14" i="10"/>
  <c r="L14" i="10"/>
  <c r="J20" i="4"/>
  <c r="H11" i="11"/>
  <c r="D7" i="1"/>
  <c r="J31" i="4"/>
  <c r="M14" i="9"/>
  <c r="K11" i="11"/>
  <c r="L11" i="1"/>
  <c r="F10" i="8"/>
  <c r="Q7" i="4"/>
  <c r="Q13" i="4"/>
  <c r="J7" i="1"/>
  <c r="L4" i="1"/>
  <c r="Q9" i="4"/>
  <c r="G7" i="1"/>
  <c r="D9" i="1"/>
  <c r="I21" i="1"/>
  <c r="H14" i="12"/>
  <c r="H14" i="9"/>
  <c r="J19" i="4"/>
  <c r="Q10" i="4"/>
  <c r="Q4" i="4"/>
  <c r="E10" i="8"/>
  <c r="O21" i="1"/>
  <c r="M5" i="4"/>
  <c r="G11" i="1"/>
  <c r="J25" i="4"/>
  <c r="J28" i="4"/>
  <c r="B109" i="4"/>
  <c r="G14" i="10"/>
  <c r="J14" i="9"/>
  <c r="J26" i="4"/>
  <c r="J14" i="12"/>
  <c r="L5" i="1"/>
  <c r="B110" i="4"/>
  <c r="G10" i="8"/>
  <c r="M6" i="4"/>
  <c r="Q14" i="4"/>
  <c r="J8" i="4"/>
  <c r="Q12" i="4"/>
  <c r="D4" i="1"/>
  <c r="B108" i="4"/>
  <c r="J32" i="4"/>
  <c r="H15" i="1"/>
  <c r="J24" i="4"/>
  <c r="J12" i="4"/>
  <c r="J5" i="4"/>
  <c r="J33" i="4"/>
  <c r="Q5" i="4"/>
  <c r="J15" i="4"/>
  <c r="M21" i="1"/>
  <c r="D11" i="1"/>
  <c r="J15" i="1"/>
  <c r="G4" i="1"/>
  <c r="M14" i="12"/>
  <c r="J14" i="4"/>
  <c r="Q17" i="4"/>
  <c r="M15" i="1"/>
  <c r="B111" i="4"/>
  <c r="J27" i="4"/>
  <c r="J7" i="4"/>
  <c r="Q2" i="4"/>
  <c r="D5" i="1"/>
  <c r="P46" i="1" l="1"/>
  <c r="BI36" i="4" s="1"/>
  <c r="P45" i="1"/>
  <c r="BI35" i="4" s="1"/>
  <c r="P32" i="1"/>
  <c r="BI22" i="4" s="1"/>
  <c r="P37" i="1"/>
  <c r="BI27" i="4" s="1"/>
  <c r="P35" i="1"/>
  <c r="BI25" i="4" s="1"/>
  <c r="P33" i="1"/>
  <c r="BI23" i="4" s="1"/>
  <c r="P43" i="1"/>
  <c r="BI33" i="4" s="1"/>
  <c r="P34" i="1"/>
  <c r="BI24" i="4" s="1"/>
  <c r="P36" i="1"/>
  <c r="BI26" i="4" s="1"/>
  <c r="P38" i="1"/>
  <c r="BI28" i="4" s="1"/>
  <c r="P40" i="1"/>
  <c r="BI30" i="4" s="1"/>
  <c r="P42" i="1"/>
  <c r="BI32" i="4" s="1"/>
  <c r="P44" i="1"/>
  <c r="BI34" i="4" s="1"/>
  <c r="P31" i="1"/>
  <c r="BI21" i="4" s="1"/>
  <c r="P30" i="1"/>
  <c r="BI20" i="4" s="1"/>
  <c r="P29" i="1"/>
  <c r="BI19" i="4" s="1"/>
  <c r="P28" i="1"/>
  <c r="BI18" i="4" s="1"/>
  <c r="P27" i="1"/>
  <c r="BI17" i="4" s="1"/>
  <c r="P25" i="1"/>
  <c r="BI15" i="4" s="1"/>
  <c r="P24" i="1"/>
  <c r="BI14" i="4" s="1"/>
  <c r="P26" i="1"/>
  <c r="BI16" i="4" s="1"/>
  <c r="P23" i="1"/>
  <c r="BI13" i="4" s="1"/>
  <c r="U52" i="1"/>
  <c r="BK30" i="4"/>
  <c r="BK13" i="4"/>
  <c r="U23" i="1"/>
  <c r="BK36" i="4"/>
  <c r="U29" i="1"/>
  <c r="BK19" i="4"/>
  <c r="U31" i="1"/>
  <c r="BK48" i="4"/>
  <c r="BK44" i="4"/>
  <c r="BK51" i="4"/>
  <c r="U25" i="1"/>
  <c r="C52" i="4"/>
  <c r="U55" i="1"/>
  <c r="U44" i="1"/>
  <c r="U28" i="1"/>
  <c r="BK49" i="4"/>
  <c r="BK15" i="4"/>
  <c r="U56" i="1"/>
  <c r="U33" i="1"/>
  <c r="U26" i="1"/>
  <c r="BK34" i="4"/>
  <c r="BK24" i="4"/>
  <c r="U59" i="1"/>
  <c r="U27" i="1"/>
  <c r="BK43" i="4"/>
  <c r="U41" i="1"/>
  <c r="BK27" i="4"/>
  <c r="U61" i="1"/>
  <c r="BK28" i="4"/>
  <c r="U43" i="1"/>
  <c r="BK40" i="4"/>
  <c r="U57" i="1"/>
  <c r="U53" i="1"/>
  <c r="BK20" i="4"/>
  <c r="U34" i="1"/>
  <c r="BK33" i="4"/>
  <c r="BK35" i="4"/>
  <c r="BK29" i="4"/>
  <c r="BK31" i="4"/>
  <c r="U47" i="1"/>
  <c r="U42" i="1"/>
  <c r="BK42" i="4"/>
  <c r="BK14" i="4"/>
  <c r="BK39" i="4"/>
  <c r="U35" i="1"/>
  <c r="BK45" i="4"/>
  <c r="U50" i="1"/>
  <c r="U30" i="1"/>
  <c r="U37" i="1"/>
  <c r="U40" i="1"/>
  <c r="U51" i="1"/>
  <c r="U48" i="1"/>
  <c r="U58" i="1"/>
  <c r="BK25" i="4"/>
  <c r="U45" i="1"/>
  <c r="BK16" i="4"/>
  <c r="BK41" i="4"/>
  <c r="U60" i="1"/>
  <c r="BK21" i="4"/>
  <c r="U36" i="1"/>
  <c r="BK18" i="4"/>
  <c r="BK38" i="4"/>
  <c r="U24" i="1"/>
  <c r="BK23" i="4"/>
  <c r="BK37" i="4"/>
  <c r="BK32" i="4"/>
  <c r="U32" i="1"/>
  <c r="U49" i="1"/>
  <c r="BK47" i="4"/>
  <c r="BK50" i="4"/>
  <c r="BK46" i="4"/>
  <c r="U54" i="1"/>
  <c r="U46" i="1"/>
  <c r="U38" i="1"/>
  <c r="BK26" i="4"/>
  <c r="BK22" i="4"/>
  <c r="BK17" i="4"/>
  <c r="U39" i="1"/>
  <c r="BL7" i="4" l="1"/>
  <c r="BI6" i="4"/>
  <c r="M37" i="1"/>
  <c r="V37" i="1" s="1"/>
  <c r="M31" i="1"/>
  <c r="BL21" i="4" s="1"/>
  <c r="M33" i="1"/>
  <c r="V33" i="1" s="1"/>
  <c r="M27" i="1"/>
  <c r="N27" i="1" s="1"/>
  <c r="M44" i="1"/>
  <c r="M51" i="1"/>
  <c r="V51" i="1" s="1"/>
  <c r="M42" i="1"/>
  <c r="BL32" i="4" s="1"/>
  <c r="M39" i="1"/>
  <c r="M46" i="1"/>
  <c r="BL36" i="4" s="1"/>
  <c r="M49" i="1"/>
  <c r="V49" i="1" s="1"/>
  <c r="M41" i="1"/>
  <c r="BL31" i="4" s="1"/>
  <c r="M24" i="1"/>
  <c r="M60" i="1"/>
  <c r="BL50" i="4" s="1"/>
  <c r="M58" i="1"/>
  <c r="M25" i="1"/>
  <c r="M30" i="1"/>
  <c r="M53" i="1"/>
  <c r="M61" i="1"/>
  <c r="N61" i="1" s="1"/>
  <c r="M59" i="1"/>
  <c r="M36" i="1"/>
  <c r="M56" i="1"/>
  <c r="M45" i="1"/>
  <c r="N45" i="1" s="1"/>
  <c r="M55" i="1"/>
  <c r="N55" i="1" s="1"/>
  <c r="M40" i="1"/>
  <c r="N40" i="1" s="1"/>
  <c r="M35" i="1"/>
  <c r="M23" i="1"/>
  <c r="M47" i="1"/>
  <c r="M34" i="1"/>
  <c r="V34" i="1" s="1"/>
  <c r="M54" i="1"/>
  <c r="M43" i="1"/>
  <c r="V43" i="1" s="1"/>
  <c r="M32" i="1"/>
  <c r="BL22" i="4" s="1"/>
  <c r="M26" i="1"/>
  <c r="V26" i="1" s="1"/>
  <c r="M28" i="1"/>
  <c r="V28" i="1" s="1"/>
  <c r="M48" i="1"/>
  <c r="M50" i="1"/>
  <c r="BL40" i="4" s="1"/>
  <c r="M29" i="1"/>
  <c r="M52" i="1"/>
  <c r="M38" i="1"/>
  <c r="BL28" i="4" s="1"/>
  <c r="M57" i="1"/>
  <c r="BL16" i="4"/>
  <c r="N38" i="1" l="1"/>
  <c r="V38" i="1"/>
  <c r="N26" i="1"/>
  <c r="BL18" i="4"/>
  <c r="N33" i="1"/>
  <c r="BL23" i="4"/>
  <c r="N57" i="1"/>
  <c r="BL47" i="4"/>
  <c r="V57" i="1"/>
  <c r="V52" i="1"/>
  <c r="BL42" i="4"/>
  <c r="N50" i="1"/>
  <c r="V50" i="1"/>
  <c r="N32" i="1"/>
  <c r="V32" i="1"/>
  <c r="BL44" i="4"/>
  <c r="V54" i="1"/>
  <c r="V47" i="1"/>
  <c r="N47" i="1"/>
  <c r="BL37" i="4"/>
  <c r="V35" i="1"/>
  <c r="N35" i="1"/>
  <c r="V55" i="1"/>
  <c r="BL45" i="4"/>
  <c r="BL46" i="4"/>
  <c r="V56" i="1"/>
  <c r="N56" i="1"/>
  <c r="V59" i="1"/>
  <c r="BL49" i="4"/>
  <c r="N53" i="1"/>
  <c r="V53" i="1"/>
  <c r="N25" i="1"/>
  <c r="V25" i="1"/>
  <c r="V60" i="1"/>
  <c r="N60" i="1"/>
  <c r="N41" i="1"/>
  <c r="V41" i="1"/>
  <c r="V46" i="1"/>
  <c r="N46" i="1"/>
  <c r="N44" i="1"/>
  <c r="V44" i="1"/>
  <c r="BL34" i="4"/>
  <c r="N37" i="1"/>
  <c r="BL27" i="4"/>
  <c r="N59" i="1"/>
  <c r="BL25" i="4"/>
  <c r="BL43" i="4"/>
  <c r="N28" i="1"/>
  <c r="N42" i="1"/>
  <c r="BL15" i="4"/>
  <c r="N54" i="1"/>
  <c r="N52" i="1"/>
  <c r="V42" i="1"/>
  <c r="BL19" i="4"/>
  <c r="V29" i="1"/>
  <c r="N29" i="1"/>
  <c r="V48" i="1"/>
  <c r="BL38" i="4"/>
  <c r="N48" i="1"/>
  <c r="N43" i="1"/>
  <c r="BL33" i="4"/>
  <c r="N34" i="1"/>
  <c r="BL24" i="4"/>
  <c r="V23" i="1"/>
  <c r="BL13" i="4"/>
  <c r="N23" i="1"/>
  <c r="V40" i="1"/>
  <c r="BL30" i="4"/>
  <c r="BL35" i="4"/>
  <c r="V45" i="1"/>
  <c r="V36" i="1"/>
  <c r="BL26" i="4"/>
  <c r="N36" i="1"/>
  <c r="BL51" i="4"/>
  <c r="V61" i="1"/>
  <c r="N30" i="1"/>
  <c r="V30" i="1"/>
  <c r="BL20" i="4"/>
  <c r="V58" i="1"/>
  <c r="N58" i="1"/>
  <c r="BL48" i="4"/>
  <c r="BL14" i="4"/>
  <c r="V24" i="1"/>
  <c r="N24" i="1"/>
  <c r="N49" i="1"/>
  <c r="BL39" i="4"/>
  <c r="V39" i="1"/>
  <c r="BL29" i="4"/>
  <c r="N39" i="1"/>
  <c r="BL41" i="4"/>
  <c r="N51" i="1"/>
  <c r="BL17" i="4"/>
  <c r="V27" i="1"/>
  <c r="V31" i="1"/>
  <c r="N31" i="1"/>
  <c r="V10" i="1" l="1"/>
  <c r="O16" i="1" s="1"/>
  <c r="BM7" i="4"/>
  <c r="BL8" i="4"/>
  <c r="L10" i="1" l="1"/>
  <c r="J56" i="4"/>
  <c r="L6" i="1"/>
  <c r="BM8" i="4"/>
  <c r="M10" i="1" l="1"/>
  <c r="N10" i="1" s="1"/>
  <c r="BM12" i="4"/>
</calcChain>
</file>

<file path=xl/comments1.xml><?xml version="1.0" encoding="utf-8"?>
<comments xmlns="http://schemas.openxmlformats.org/spreadsheetml/2006/main">
  <authors>
    <author xml:space="preserve"> </author>
  </authors>
  <commentList>
    <comment ref="B11" authorId="0" shapeId="0">
      <text>
        <r>
          <rPr>
            <b/>
            <sz val="8"/>
            <color indexed="81"/>
            <rFont val="Tahoma"/>
            <family val="2"/>
          </rPr>
          <t>1</t>
        </r>
        <r>
          <rPr>
            <b/>
            <sz val="10"/>
            <color indexed="81"/>
            <rFont val="Tahoma"/>
            <family val="2"/>
          </rPr>
          <t>) click on button
2) uncheck Empty
3) Sort by order</t>
        </r>
      </text>
    </comment>
    <comment ref="B41" authorId="0" shapeId="0">
      <text>
        <r>
          <rPr>
            <b/>
            <sz val="8"/>
            <color indexed="81"/>
            <rFont val="Tahoma"/>
            <family val="2"/>
          </rPr>
          <t>1</t>
        </r>
        <r>
          <rPr>
            <b/>
            <sz val="10"/>
            <color indexed="81"/>
            <rFont val="Tahoma"/>
            <family val="2"/>
          </rPr>
          <t>) click on button
2) uncheck Empty
3) Sort by order</t>
        </r>
      </text>
    </comment>
    <comment ref="B68" authorId="0" shapeId="0">
      <text>
        <r>
          <rPr>
            <b/>
            <sz val="8"/>
            <color indexed="81"/>
            <rFont val="Tahoma"/>
            <family val="2"/>
          </rPr>
          <t>1</t>
        </r>
        <r>
          <rPr>
            <b/>
            <sz val="10"/>
            <color indexed="81"/>
            <rFont val="Tahoma"/>
            <family val="2"/>
          </rPr>
          <t>) click on button
2) uncheck Empty
3) Sort by order</t>
        </r>
      </text>
    </comment>
  </commentList>
</comments>
</file>

<file path=xl/sharedStrings.xml><?xml version="1.0" encoding="utf-8"?>
<sst xmlns="http://schemas.openxmlformats.org/spreadsheetml/2006/main" count="2659" uniqueCount="1251">
  <si>
    <t>Type</t>
  </si>
  <si>
    <t>Elite</t>
  </si>
  <si>
    <t>Superior</t>
  </si>
  <si>
    <t>Average</t>
  </si>
  <si>
    <t>Poor</t>
  </si>
  <si>
    <t>Drilled</t>
  </si>
  <si>
    <t>Undrilled</t>
  </si>
  <si>
    <t>HF</t>
  </si>
  <si>
    <t>MF</t>
  </si>
  <si>
    <t>LF</t>
  </si>
  <si>
    <t>LH</t>
  </si>
  <si>
    <t>EL</t>
  </si>
  <si>
    <t>HART</t>
  </si>
  <si>
    <t>LART</t>
  </si>
  <si>
    <t>Unprotected</t>
  </si>
  <si>
    <t>Protected</t>
  </si>
  <si>
    <t>Armoured</t>
  </si>
  <si>
    <t>Bow</t>
  </si>
  <si>
    <t>Crossbow</t>
  </si>
  <si>
    <t>Sling</t>
  </si>
  <si>
    <t>Other</t>
  </si>
  <si>
    <t>Spearmen</t>
  </si>
  <si>
    <t>CHA</t>
  </si>
  <si>
    <t>Javelins</t>
  </si>
  <si>
    <t>Camelry</t>
  </si>
  <si>
    <t>Valeur du BG</t>
  </si>
  <si>
    <t>TOTAL</t>
  </si>
  <si>
    <t>Foot</t>
  </si>
  <si>
    <t>SCH -</t>
  </si>
  <si>
    <t>EL -</t>
  </si>
  <si>
    <t>-</t>
  </si>
  <si>
    <t>Bw*</t>
  </si>
  <si>
    <t>tirs</t>
  </si>
  <si>
    <t>impact</t>
  </si>
  <si>
    <t>Melée</t>
  </si>
  <si>
    <t>- -</t>
  </si>
  <si>
    <t>Special</t>
  </si>
  <si>
    <t>N° FFJH:</t>
  </si>
  <si>
    <t>Developed</t>
  </si>
  <si>
    <t>Agricultural</t>
  </si>
  <si>
    <t>Hilly</t>
  </si>
  <si>
    <t>Tropical</t>
  </si>
  <si>
    <t>Desert</t>
  </si>
  <si>
    <t>Adresse:</t>
  </si>
  <si>
    <t>Ordre de marche</t>
  </si>
  <si>
    <t>Point/ Base</t>
  </si>
  <si>
    <t>Woodland</t>
  </si>
  <si>
    <t>--------</t>
  </si>
  <si>
    <t>Mountain</t>
  </si>
  <si>
    <t>Steppe</t>
  </si>
  <si>
    <t>Compétition:</t>
  </si>
  <si>
    <t>Port Def.</t>
  </si>
  <si>
    <t>Firearm</t>
  </si>
  <si>
    <t>Longbow</t>
  </si>
  <si>
    <t>Quality</t>
  </si>
  <si>
    <t>Training</t>
  </si>
  <si>
    <t>Armour</t>
  </si>
  <si>
    <t>Zone de Traduction</t>
  </si>
  <si>
    <t>Langue</t>
  </si>
  <si>
    <t>Qualité</t>
  </si>
  <si>
    <t>Entraînement</t>
  </si>
  <si>
    <t>Armure</t>
  </si>
  <si>
    <t>Spécial</t>
  </si>
  <si>
    <t>Impact POA</t>
  </si>
  <si>
    <t>Tournament:</t>
  </si>
  <si>
    <t>BHGS number:</t>
  </si>
  <si>
    <t>Nom de la liste</t>
  </si>
  <si>
    <t>Nom du livret</t>
  </si>
  <si>
    <t>N° liste</t>
  </si>
  <si>
    <t>Territory Types</t>
  </si>
  <si>
    <t>Nationality</t>
  </si>
  <si>
    <t>France</t>
  </si>
  <si>
    <t>Nationalité</t>
  </si>
  <si>
    <t>Moyenne</t>
  </si>
  <si>
    <t>Faible</t>
  </si>
  <si>
    <t>Elle a maintenant le nom officiel :-)</t>
  </si>
  <si>
    <t>A code is just in order to light in red the cells of involuntarily modified formulas</t>
  </si>
  <si>
    <t>Les cellules sont débloquées afin de permettre le filtre sur l'ordre de marche</t>
  </si>
  <si>
    <t>les feuilles de données sont masquées pour éviter des erreurs</t>
  </si>
  <si>
    <t>La nationalité peux être changée ce qui modifie les intitulés en langues nationales (merci à Vincent)</t>
  </si>
  <si>
    <t>Un code est intégré afin d'éclairer en rouge les cellules de formules involontairement modifiées ( merci  encore à Vincent)</t>
  </si>
  <si>
    <t>Un filtre est intégré sur la colonne troupes afin de nettoyer les lignes inutiles ( il suffit de décocher la case "vides")</t>
  </si>
  <si>
    <t>CinC</t>
  </si>
  <si>
    <t>nombre d'eclaireur</t>
  </si>
  <si>
    <t>table_general</t>
  </si>
  <si>
    <t>ordre de marche</t>
  </si>
  <si>
    <t>1-1-1-1</t>
  </si>
  <si>
    <t>2-1-1-1</t>
  </si>
  <si>
    <t>2-2-1-1</t>
  </si>
  <si>
    <t>2-2-2-1</t>
  </si>
  <si>
    <t>2-2-2-2</t>
  </si>
  <si>
    <t>3-2-2-2</t>
  </si>
  <si>
    <t>3-3-2-2</t>
  </si>
  <si>
    <t>3-3-3-2</t>
  </si>
  <si>
    <t>3-3-3-3</t>
  </si>
  <si>
    <t>4-3-3-3</t>
  </si>
  <si>
    <t>4-4-3-3</t>
  </si>
  <si>
    <t>4-4-4-3</t>
  </si>
  <si>
    <t>4-4-4-4</t>
  </si>
  <si>
    <t>5-4-4-4</t>
  </si>
  <si>
    <t>5-5-4-4</t>
  </si>
  <si>
    <t>5-5-5-4</t>
  </si>
  <si>
    <t>5-5-5-5</t>
  </si>
  <si>
    <t>6-5-5-5</t>
  </si>
  <si>
    <t>6-6-5-5</t>
  </si>
  <si>
    <t>6-6-6-5</t>
  </si>
  <si>
    <t>Supérieur</t>
  </si>
  <si>
    <t>Régions possibles</t>
  </si>
  <si>
    <t>Entrainé</t>
  </si>
  <si>
    <t>Non entrainé</t>
  </si>
  <si>
    <t>Cuirassé</t>
  </si>
  <si>
    <t>Arc long</t>
  </si>
  <si>
    <t>Arbalète</t>
  </si>
  <si>
    <t>Fronde</t>
  </si>
  <si>
    <t>Arme à feu</t>
  </si>
  <si>
    <t>Autre</t>
  </si>
  <si>
    <t>Artillerie légère</t>
  </si>
  <si>
    <t>Lancier offensif</t>
  </si>
  <si>
    <t>Lancier défensif</t>
  </si>
  <si>
    <t>Arme lourde</t>
  </si>
  <si>
    <t>Lancier</t>
  </si>
  <si>
    <t>Chamelerie</t>
  </si>
  <si>
    <t>Obstacle port.</t>
  </si>
  <si>
    <t>developed</t>
  </si>
  <si>
    <t>Développée</t>
  </si>
  <si>
    <t>Orden de marcha</t>
  </si>
  <si>
    <t>Tropas</t>
  </si>
  <si>
    <t>Tipo</t>
  </si>
  <si>
    <t>Calidad</t>
  </si>
  <si>
    <t>Disciplina</t>
  </si>
  <si>
    <t>Armadura</t>
  </si>
  <si>
    <t>POA de impacto</t>
  </si>
  <si>
    <t>Especial</t>
  </si>
  <si>
    <t>Número de bases</t>
  </si>
  <si>
    <t>Puntos por base</t>
  </si>
  <si>
    <t>Valor de BG</t>
  </si>
  <si>
    <t>Nº FIJSH:</t>
  </si>
  <si>
    <t>Torneo:</t>
  </si>
  <si>
    <t>Dirección:</t>
  </si>
  <si>
    <t>Nombre de la lista</t>
  </si>
  <si>
    <t>Nombre del libro</t>
  </si>
  <si>
    <t>Nº página</t>
  </si>
  <si>
    <t>Nº lista</t>
  </si>
  <si>
    <t>Tipos de terreno</t>
  </si>
  <si>
    <t>Nacionalidad</t>
  </si>
  <si>
    <t>Élite</t>
  </si>
  <si>
    <t>Media</t>
  </si>
  <si>
    <t>Pobre</t>
  </si>
  <si>
    <t>Desarrollado</t>
  </si>
  <si>
    <t>Modificador de iniciativa</t>
  </si>
  <si>
    <t>Despliegue de BG</t>
  </si>
  <si>
    <t>Disciplinado</t>
  </si>
  <si>
    <t>Indisciplinado</t>
  </si>
  <si>
    <t>Desprotegido</t>
  </si>
  <si>
    <t>Protegido</t>
  </si>
  <si>
    <t>Acorazado</t>
  </si>
  <si>
    <t>Fuertemente acorazado</t>
  </si>
  <si>
    <t>Arco largo</t>
  </si>
  <si>
    <t>Ballesta</t>
  </si>
  <si>
    <t>Honda</t>
  </si>
  <si>
    <t>Jabalinas</t>
  </si>
  <si>
    <t>Armas de fuego</t>
  </si>
  <si>
    <t>Otros</t>
  </si>
  <si>
    <t>Artillería ligera</t>
  </si>
  <si>
    <t>Infantes de asalto</t>
  </si>
  <si>
    <t>Lanceros ofensivos</t>
  </si>
  <si>
    <t>Lanceros defensivos</t>
  </si>
  <si>
    <t>Piqueros</t>
  </si>
  <si>
    <t>Arma pesada</t>
  </si>
  <si>
    <t>Lanza ligera</t>
  </si>
  <si>
    <t>Lanceros</t>
  </si>
  <si>
    <t>Espadas</t>
  </si>
  <si>
    <t>Lanceros a pie</t>
  </si>
  <si>
    <t>Camellería</t>
  </si>
  <si>
    <t>Def. Port.</t>
  </si>
  <si>
    <t>Estepa</t>
  </si>
  <si>
    <t>Agrícola</t>
  </si>
  <si>
    <t>Montañas</t>
  </si>
  <si>
    <t>Colinas</t>
  </si>
  <si>
    <t>Desierto</t>
  </si>
  <si>
    <t>Boscoso</t>
  </si>
  <si>
    <t>La nacionalidad puede cambiarse, lo que modifica los encabezados a la lengua correspondiente (gracias a Vincent)</t>
  </si>
  <si>
    <t>Código para marcar en rojo las celdas modificadas involuntariamente</t>
  </si>
  <si>
    <t>Filtro en la columna "Tropas" para eliminar las líneas inútiles (basta con marcar la casilla "vacías"</t>
  </si>
  <si>
    <t>Las celdas se desbloquean para poder aplicar el filtro en la columna "Orden de marcha"</t>
  </si>
  <si>
    <t>Las hojas de datos están enmascaradas para evitar errores</t>
  </si>
  <si>
    <t>Tiene oficialmente nombre :-)</t>
  </si>
  <si>
    <t>Espadas excelentes</t>
  </si>
  <si>
    <t>Les Hordes (Mobs) peuvent maintenant avoir une Qualité différente.</t>
  </si>
  <si>
    <t>Los elefantes y los carros falcados ya no necesitan incluir Calidad (son siempre medios)</t>
  </si>
  <si>
    <t>traducción semiautomática de los datos en Francés y en Español</t>
  </si>
  <si>
    <t>0-0-0-0</t>
  </si>
  <si>
    <t>1-0-0-0</t>
  </si>
  <si>
    <t>1-1-0-0</t>
  </si>
  <si>
    <t>1-1-1-0</t>
  </si>
  <si>
    <t>IMPORTANT: NE PAS TOUCHER AUX CELLULES COLORES</t>
  </si>
  <si>
    <t>IMPORTANT: DON'T TOUCH AT THE COLOURED CELL</t>
  </si>
  <si>
    <t>correction de l'initiative pour les montés</t>
  </si>
  <si>
    <t>Correction of the bugs for some weapons</t>
  </si>
  <si>
    <t>Elephant and scythed chariot can, or not, register "average" quality without affecting the end value.</t>
  </si>
  <si>
    <t>Cosmetic change in frontage and arrangement in backroom !</t>
  </si>
  <si>
    <t>Kn</t>
  </si>
  <si>
    <t>HCh</t>
  </si>
  <si>
    <t>LCh</t>
  </si>
  <si>
    <t>SCh</t>
  </si>
  <si>
    <t>Lart</t>
  </si>
  <si>
    <t>Hart</t>
  </si>
  <si>
    <t>BWG</t>
  </si>
  <si>
    <t>Ct -</t>
  </si>
  <si>
    <t>CT</t>
  </si>
  <si>
    <t>Cv</t>
  </si>
  <si>
    <t>LCh -</t>
  </si>
  <si>
    <t>HCh -</t>
  </si>
  <si>
    <t>Artillerie lourde</t>
  </si>
  <si>
    <t>Artillería pesada</t>
  </si>
  <si>
    <t>BWG -</t>
  </si>
  <si>
    <t>HArt -</t>
  </si>
  <si>
    <t>LArt -</t>
  </si>
  <si>
    <t>Address:</t>
  </si>
  <si>
    <t>Ally general</t>
  </si>
  <si>
    <t>Pre Battle Initiative Modifier</t>
  </si>
  <si>
    <t>Information personnelle</t>
  </si>
  <si>
    <t>Información personal</t>
  </si>
  <si>
    <t>Information de jeu</t>
  </si>
  <si>
    <t>Información de juego</t>
  </si>
  <si>
    <t>Marschordnung</t>
  </si>
  <si>
    <t>Truppen</t>
  </si>
  <si>
    <t>Typ</t>
  </si>
  <si>
    <t>Qualität</t>
  </si>
  <si>
    <t>Ausbildung</t>
  </si>
  <si>
    <t>Rüstung</t>
  </si>
  <si>
    <t>Punkte pro Base</t>
  </si>
  <si>
    <t>BHGS Nummer</t>
  </si>
  <si>
    <t>Turnier</t>
  </si>
  <si>
    <t>Club</t>
  </si>
  <si>
    <t>Name und Vornamen</t>
  </si>
  <si>
    <t>Adresse</t>
  </si>
  <si>
    <t>Name der Liste:</t>
  </si>
  <si>
    <t>Seitennummer</t>
  </si>
  <si>
    <t>Listennummer</t>
  </si>
  <si>
    <t>Geländetypen</t>
  </si>
  <si>
    <t>Nationalität</t>
  </si>
  <si>
    <t>Durchschnittlich</t>
  </si>
  <si>
    <t>Entwickelt</t>
  </si>
  <si>
    <t>Ausgebildet</t>
  </si>
  <si>
    <t>Unausgebildet</t>
  </si>
  <si>
    <t>Ungeschützt</t>
  </si>
  <si>
    <t>Geschützt</t>
  </si>
  <si>
    <t>Langbogen</t>
  </si>
  <si>
    <t>Armbrust</t>
  </si>
  <si>
    <t>Schleuder</t>
  </si>
  <si>
    <t>Wurfspeer</t>
  </si>
  <si>
    <t>Feuerwaffe</t>
  </si>
  <si>
    <t>Andere</t>
  </si>
  <si>
    <t>Defensive Speerträger</t>
  </si>
  <si>
    <t>Schwertkämpfer</t>
  </si>
  <si>
    <t>Speerträger</t>
  </si>
  <si>
    <t>Kamelreiter</t>
  </si>
  <si>
    <t>Landwirtschaftlich</t>
  </si>
  <si>
    <t>Berg</t>
  </si>
  <si>
    <t>Hügelig</t>
  </si>
  <si>
    <t>Tropisch</t>
  </si>
  <si>
    <t>Wald</t>
  </si>
  <si>
    <t>Wüste</t>
  </si>
  <si>
    <t>Spielinformation</t>
  </si>
  <si>
    <t>Français</t>
  </si>
  <si>
    <t>English</t>
  </si>
  <si>
    <t>Español</t>
  </si>
  <si>
    <t>einige Fehler zu den Waffen korrigiert</t>
  </si>
  <si>
    <t>Korrektur der Initiative für Berittene vor der Schlacht</t>
  </si>
  <si>
    <t>Aussehen neu arrangiert</t>
  </si>
  <si>
    <t>automatische Berechnung der Schlacht Initiative (dazu ist es nötig den CinC in der Spalte "Spezial" anzugeben)</t>
  </si>
  <si>
    <t>Code implementiert um unfreiwillig geänderte Formel zu markieren</t>
  </si>
  <si>
    <t>Filter implementiert in der Spalte "Truppen" um leere Zeilen zu löschen (die Box "vacuums" ankreuzen)</t>
  </si>
  <si>
    <t>Die Zellen werden geleert um eine Reihenfolge in der Spalte "Marschordnung" anzugeben</t>
  </si>
  <si>
    <t>Die Datenblätter sind geschützt, um Fehler zu vermeiden</t>
  </si>
  <si>
    <t>Mob kann jetzt unterschiedliche Qualitäten haben</t>
  </si>
  <si>
    <t>Elefanten und Sichelstreitwagen brauchen jetzt keine Qualität mehr (sind immer durchschnittlich)</t>
  </si>
  <si>
    <t>Jetzt mit offiziellem Namen;-)</t>
  </si>
  <si>
    <t>Ajout de la version allemande</t>
  </si>
  <si>
    <t>Ajout d'un commentaire pour l'ordre de marche</t>
  </si>
  <si>
    <t>Les "Mb" doivent maintenant inscrire leur armure</t>
  </si>
  <si>
    <t xml:space="preserve">ex: </t>
  </si>
  <si>
    <t xml:space="preserve">Arcs  </t>
  </si>
  <si>
    <t>Arcos</t>
  </si>
  <si>
    <t xml:space="preserve">Grosse modification de la présentation </t>
  </si>
  <si>
    <t xml:space="preserve">Refontes des abréviations pour les rendre identique à la règle </t>
  </si>
  <si>
    <t>Introduction des POA "Artillerie lourde" et "artillerie légère"</t>
  </si>
  <si>
    <t>Les BWG avec artillerie légère doivent inscrire le POA correspondant</t>
  </si>
  <si>
    <t>La réduction pour le général allié se calcule quand la case "spécial" est remplie</t>
  </si>
  <si>
    <t xml:space="preserve">Les éléphants et les chars à faux peuvent, ou pas, inscrire la qualité "moyenne" sans affecter la valeur finale </t>
  </si>
  <si>
    <t>Changement cosmétique en façade et rangement dans l'arrière cour !</t>
  </si>
  <si>
    <t>calcul automatique du déploiement une fois l'ordre de marche rempli</t>
  </si>
  <si>
    <t>calcul automatique de l'initiative ( il faut indiquer dans la colonne "spécial" le CinC)</t>
  </si>
  <si>
    <t>traduction semi automatique des données en français ( la traduction se fait à partir d'une feuille vierge)</t>
  </si>
  <si>
    <t>Addition of the German version</t>
  </si>
  <si>
    <t>Addition of an important comment for the order of march</t>
  </si>
  <si>
    <t>The “Mb” must now register their armour</t>
  </si>
  <si>
    <t>Introduction of the POA “Heavy artillery” and “light artillery”</t>
  </si>
  <si>
    <t>The BWG with light artillery must register the corresponding POA</t>
  </si>
  <si>
    <t>The reduction for the general allied is calculated when the box “special” is filled</t>
  </si>
  <si>
    <t>BG Number</t>
  </si>
  <si>
    <t>attrition table</t>
  </si>
  <si>
    <t>Number of BG</t>
  </si>
  <si>
    <t>Nombre de BG</t>
  </si>
  <si>
    <t>Número de BG</t>
  </si>
  <si>
    <t>Deutsch</t>
  </si>
  <si>
    <t>25%</t>
  </si>
  <si>
    <t>Autobreak</t>
  </si>
  <si>
    <t>Allies</t>
  </si>
  <si>
    <t>Mob</t>
  </si>
  <si>
    <t>calcul objectif des BG dans l'ordre de marche</t>
  </si>
  <si>
    <t>le calcul de l'attrition se fait suivant la version officielle de la feuille de score.</t>
  </si>
  <si>
    <t>Attrition score is taken from the official scoring sheet.</t>
  </si>
  <si>
    <t>mise des colonnes des types dans l'ordre des listes</t>
  </si>
  <si>
    <t>Correction du bug des chars à faux</t>
  </si>
  <si>
    <t>N° page</t>
  </si>
  <si>
    <t>Général allié</t>
  </si>
  <si>
    <t>Allié</t>
  </si>
  <si>
    <t>Demo automatique</t>
  </si>
  <si>
    <t>Modificateur d'initiative</t>
  </si>
  <si>
    <t>Déploiement des BG</t>
  </si>
  <si>
    <t>General combinado</t>
  </si>
  <si>
    <t>Combinado</t>
  </si>
  <si>
    <t>n</t>
  </si>
  <si>
    <t>Attrition Point Value for FOG scoresheet</t>
  </si>
  <si>
    <t>Valeur d'attrition pour la feuille de score FOG</t>
  </si>
  <si>
    <t xml:space="preserve">Général </t>
  </si>
  <si>
    <t xml:space="preserve">General </t>
  </si>
  <si>
    <t>General</t>
  </si>
  <si>
    <t>Changement charte graphique</t>
  </si>
  <si>
    <t>rangement de l'arrière cour</t>
  </si>
  <si>
    <t>Correction de détails mineur</t>
  </si>
  <si>
    <t>résolution du problème des BG mixte. L'auto break et les 25% se calculent à l'aide des cellules de l'ordre de marche sur la première ligne du BG mixte.</t>
  </si>
  <si>
    <t>les "mob" peuvent être "protégé"</t>
  </si>
  <si>
    <t>Inscrire la Qualité n'est plus nécessaire pour les éléphants et les chars à faux  ( il sont toujours "moyen")</t>
  </si>
  <si>
    <t xml:space="preserve">Correction of some détails </t>
  </si>
  <si>
    <t>Camp fortifié</t>
  </si>
  <si>
    <t>Campo Consolidado</t>
  </si>
  <si>
    <t>Fortified Camp</t>
  </si>
  <si>
    <t>Dans la colonne Autobreak, les generaux et le camp fortifié n'ayant pas besoin de cette valeur, leur identité est rappelée.</t>
  </si>
  <si>
    <t xml:space="preserve"> http://www.fieldofglory.fr/spip.php?article2</t>
  </si>
  <si>
    <t>Ordre du livre</t>
  </si>
  <si>
    <t>Orden del libro</t>
  </si>
  <si>
    <t>Rise of Rome</t>
  </si>
  <si>
    <t>Storm of Arrows</t>
  </si>
  <si>
    <t>Immortal Fire</t>
  </si>
  <si>
    <t>Swords and Scimitars</t>
  </si>
  <si>
    <t>Legions Triumphant</t>
  </si>
  <si>
    <t>Eternal Empire</t>
  </si>
  <si>
    <t>Decline and Fall</t>
  </si>
  <si>
    <t>Mid Republican Roman</t>
  </si>
  <si>
    <t>Late Republican Roman</t>
  </si>
  <si>
    <t>Gallic</t>
  </si>
  <si>
    <t>Pyrrhic</t>
  </si>
  <si>
    <t>Later Carthaginian</t>
  </si>
  <si>
    <t>Illyrian</t>
  </si>
  <si>
    <t>Ancient Spanish</t>
  </si>
  <si>
    <t>Later Macedonian</t>
  </si>
  <si>
    <t>Attalid Pergamene</t>
  </si>
  <si>
    <t>Numidian or Early Moorish</t>
  </si>
  <si>
    <t>Later Seleucid</t>
  </si>
  <si>
    <t>Later Ptolemaic</t>
  </si>
  <si>
    <t>Pontic</t>
  </si>
  <si>
    <t>Spartacus Slave Revolt</t>
  </si>
  <si>
    <t>Early Armenian</t>
  </si>
  <si>
    <t>Parthian</t>
  </si>
  <si>
    <t>Later Jewish</t>
  </si>
  <si>
    <t>Bosporan</t>
  </si>
  <si>
    <t>Hundred Years' War English ( continental)</t>
  </si>
  <si>
    <t>Hundred Years' War English ( Britain)</t>
  </si>
  <si>
    <t>War of the Roses English</t>
  </si>
  <si>
    <t>Medieval Welsh</t>
  </si>
  <si>
    <t>Later Medieval Scots (Continental)</t>
  </si>
  <si>
    <t>Later Medieval Scots (Britain)</t>
  </si>
  <si>
    <t>Later Scots Isles and Highlands</t>
  </si>
  <si>
    <t>Later Anglo-Irish</t>
  </si>
  <si>
    <t>Medieval Irish</t>
  </si>
  <si>
    <t>Medieval French</t>
  </si>
  <si>
    <t>Ordonnance French</t>
  </si>
  <si>
    <t>Free Company</t>
  </si>
  <si>
    <t>Navarrese</t>
  </si>
  <si>
    <t>Later Low Countries</t>
  </si>
  <si>
    <t>Medieval Burgundian</t>
  </si>
  <si>
    <t>Ordonnance Burgundian</t>
  </si>
  <si>
    <t>Swiss</t>
  </si>
  <si>
    <t>Later Medieval German</t>
  </si>
  <si>
    <t>Later Medieval Danish</t>
  </si>
  <si>
    <t>Later Medieval Swedish</t>
  </si>
  <si>
    <t>Condotta Italian</t>
  </si>
  <si>
    <t>Medieval Crown of Aragon</t>
  </si>
  <si>
    <t>Medieval Portuguese</t>
  </si>
  <si>
    <t>Medieval Castilian</t>
  </si>
  <si>
    <t>Santa Hernandad Nueva Castillan</t>
  </si>
  <si>
    <t>Later Granadine</t>
  </si>
  <si>
    <t>*</t>
  </si>
  <si>
    <t>6-6-6-6</t>
  </si>
  <si>
    <t>7-6-6-6</t>
  </si>
  <si>
    <t>7-7-6-6</t>
  </si>
  <si>
    <t>7-7-7-6</t>
  </si>
  <si>
    <t>7-7-7-7</t>
  </si>
  <si>
    <t>8-7-7-7</t>
  </si>
  <si>
    <t>8-8-7-7</t>
  </si>
  <si>
    <t>8-8-8-7</t>
  </si>
  <si>
    <t>8-8-8-8</t>
  </si>
  <si>
    <t>9-8-8-8</t>
  </si>
  <si>
    <t>9-9-9-9</t>
  </si>
  <si>
    <t>9-9-8-8</t>
  </si>
  <si>
    <t>9-9-9-8</t>
  </si>
  <si>
    <t>Les informations concernant les tournoi sont regroupés en un seul bandeau. Si elle ne vous servent a rien, masquez les!</t>
  </si>
  <si>
    <t>Ne pas remplir les cellules colorées, elles contiennent toutes des formules</t>
  </si>
  <si>
    <t>39 positions disponible pour inscrire les differents BG</t>
  </si>
  <si>
    <t>Le deploiement des BG accepte maintenant jusqu'à 36 BG differents</t>
  </si>
  <si>
    <t>Une colonne a ete rajouté pour faciliter le travail de verification de liste</t>
  </si>
  <si>
    <t>A column was added to facilitate the work of List-Checker</t>
  </si>
  <si>
    <t>Do not  fill the coloured cells as all of them contain formulas</t>
  </si>
  <si>
    <t>Classical Greek</t>
  </si>
  <si>
    <t>Early Achaemenid Persian</t>
  </si>
  <si>
    <t>Thracian</t>
  </si>
  <si>
    <t>Lydian</t>
  </si>
  <si>
    <t>Late Dynastic Egyptian</t>
  </si>
  <si>
    <t>Kyrenean Greek</t>
  </si>
  <si>
    <t>Early Carthaginian</t>
  </si>
  <si>
    <t>Skythian or Saka</t>
  </si>
  <si>
    <t>Classical Indian</t>
  </si>
  <si>
    <t>Late Achaemenid Persian</t>
  </si>
  <si>
    <t>Syracusan</t>
  </si>
  <si>
    <t>Alexandrian Macedonian</t>
  </si>
  <si>
    <t>Early Successor</t>
  </si>
  <si>
    <t>Early Sarmatian</t>
  </si>
  <si>
    <t>Galatian</t>
  </si>
  <si>
    <t>Hellenistic Greek</t>
  </si>
  <si>
    <t>Greco-Bactrian</t>
  </si>
  <si>
    <t>Indo-Greek</t>
  </si>
  <si>
    <t>Lance légère</t>
  </si>
  <si>
    <t>Swifter Than Eagles</t>
  </si>
  <si>
    <t>Wolves From The Seas</t>
  </si>
  <si>
    <t>Early Crusader</t>
  </si>
  <si>
    <t>Later Crusader</t>
  </si>
  <si>
    <t>Fatimid Egyptian</t>
  </si>
  <si>
    <t>Georgian</t>
  </si>
  <si>
    <t>Seljuk Turk</t>
  </si>
  <si>
    <t>Cuman</t>
  </si>
  <si>
    <t>Komnenan Byzantine</t>
  </si>
  <si>
    <t>Cilician Armenian</t>
  </si>
  <si>
    <t>Syrian States</t>
  </si>
  <si>
    <t>Khwarazmian</t>
  </si>
  <si>
    <t>Ayyubid Egyptian</t>
  </si>
  <si>
    <t>Middle Serbian</t>
  </si>
  <si>
    <t>Middle Bulgarian</t>
  </si>
  <si>
    <t>Medieval Cypriot</t>
  </si>
  <si>
    <t>Post Latin Conquest Byzantine</t>
  </si>
  <si>
    <t>Ilkhanid Mongol</t>
  </si>
  <si>
    <t>Mamluk Egyptian</t>
  </si>
  <si>
    <t>Principate Roman</t>
  </si>
  <si>
    <t>Foederate Roman</t>
  </si>
  <si>
    <t>Dominate Roman</t>
  </si>
  <si>
    <t>Kushan or Indo-skythian</t>
  </si>
  <si>
    <t>Early German</t>
  </si>
  <si>
    <t>Ancient British</t>
  </si>
  <si>
    <t>Early Scots-irish</t>
  </si>
  <si>
    <t>Dacian or Carpi</t>
  </si>
  <si>
    <t>Later Sarmatian</t>
  </si>
  <si>
    <t>Early Alan</t>
  </si>
  <si>
    <t>Jewish Revolt</t>
  </si>
  <si>
    <t>Caledonian</t>
  </si>
  <si>
    <t>Early Pictish</t>
  </si>
  <si>
    <t>Sassanid Persian</t>
  </si>
  <si>
    <t>Early Visigothic or Early Vandal</t>
  </si>
  <si>
    <t>Palmyran</t>
  </si>
  <si>
    <t>Early Frankish, Alamanni, Burgundi, Limigantes, Quadi, Rugii, Suebi or Turcilingi</t>
  </si>
  <si>
    <t>Early Anglo-saxon, Bavarian, Frisian, Old Saxon or Thurangian</t>
  </si>
  <si>
    <t>Early Ostrogothic, Herul, Sciri or Taifali</t>
  </si>
  <si>
    <t>Gepid or Early Lombard</t>
  </si>
  <si>
    <t>Western Hunnic</t>
  </si>
  <si>
    <t>Hephthalite Hunnic</t>
  </si>
  <si>
    <t xml:space="preserve"> </t>
  </si>
  <si>
    <t>Early Ottoman Turkish</t>
  </si>
  <si>
    <t>Later Ottoman Turkish</t>
  </si>
  <si>
    <t>Tatar</t>
  </si>
  <si>
    <t>Late Byzantine</t>
  </si>
  <si>
    <t>Later Russian</t>
  </si>
  <si>
    <t>Later Serbian</t>
  </si>
  <si>
    <t>Later Bulgarian</t>
  </si>
  <si>
    <t>Later Lithuanian</t>
  </si>
  <si>
    <t>Later Polish</t>
  </si>
  <si>
    <t>Later Teutonic Knights</t>
  </si>
  <si>
    <t>Catalan Company</t>
  </si>
  <si>
    <t>Middle Hungarian</t>
  </si>
  <si>
    <t>Moldavian or Wallachian</t>
  </si>
  <si>
    <t>Albanian</t>
  </si>
  <si>
    <t>Timurid, Black Sheep Turcoman or White Sheep Turcoman</t>
  </si>
  <si>
    <t>Hussite</t>
  </si>
  <si>
    <t>Later Hungarian</t>
  </si>
  <si>
    <t>Early Byzantine</t>
  </si>
  <si>
    <t>Later Moorish</t>
  </si>
  <si>
    <t>Later Visigothic</t>
  </si>
  <si>
    <t>African Vandal</t>
  </si>
  <si>
    <t>Italian Ostrogothic</t>
  </si>
  <si>
    <t>Early South Slav</t>
  </si>
  <si>
    <t>Lombard</t>
  </si>
  <si>
    <t>Maurikian Byzantine</t>
  </si>
  <si>
    <t>Christian Nubian</t>
  </si>
  <si>
    <t>Avar</t>
  </si>
  <si>
    <t>Western Turkish</t>
  </si>
  <si>
    <t>Arab Conquest</t>
  </si>
  <si>
    <t>Early Bulgar</t>
  </si>
  <si>
    <t>Thematic Byzantine</t>
  </si>
  <si>
    <t>Umayyad Arab</t>
  </si>
  <si>
    <t>Abbasid Arab</t>
  </si>
  <si>
    <t>Early Norh African Dynasties</t>
  </si>
  <si>
    <t>Khurasanian Dynasties</t>
  </si>
  <si>
    <t>Bedouin Dynasties</t>
  </si>
  <si>
    <t>Dailami Dynasties</t>
  </si>
  <si>
    <t>Pecheneg</t>
  </si>
  <si>
    <t>Ghaznavid</t>
  </si>
  <si>
    <t>Nikephorian Byzantine</t>
  </si>
  <si>
    <t>Post-Roman British</t>
  </si>
  <si>
    <t>Early Welsh</t>
  </si>
  <si>
    <t>Later Scots-Irish</t>
  </si>
  <si>
    <t>Merovingian Frankish</t>
  </si>
  <si>
    <t>Later Pictish</t>
  </si>
  <si>
    <t>Early Slavic</t>
  </si>
  <si>
    <t>Middle Anglo-Saxon</t>
  </si>
  <si>
    <t>Astur-Leonese</t>
  </si>
  <si>
    <t>Andalusian</t>
  </si>
  <si>
    <t>Early Navarrese</t>
  </si>
  <si>
    <t>Carolingian Frankish</t>
  </si>
  <si>
    <t>Viking</t>
  </si>
  <si>
    <t>Magyar</t>
  </si>
  <si>
    <t>Great Moravian</t>
  </si>
  <si>
    <t>Early Scots</t>
  </si>
  <si>
    <t>Rus</t>
  </si>
  <si>
    <t>Norse-Irish</t>
  </si>
  <si>
    <t>Early Medieval French</t>
  </si>
  <si>
    <t>Early Medieval German</t>
  </si>
  <si>
    <t>Norman</t>
  </si>
  <si>
    <t>Early Polish</t>
  </si>
  <si>
    <t>Anglo-Danish</t>
  </si>
  <si>
    <t>Light spear Swordsmen</t>
  </si>
  <si>
    <t>Lancer Swordsmen</t>
  </si>
  <si>
    <t>Swordsmen</t>
  </si>
  <si>
    <t>Lancer</t>
  </si>
  <si>
    <t>Oath of fealty</t>
  </si>
  <si>
    <t>Empires of the Dragon</t>
  </si>
  <si>
    <t>Blood and Gold</t>
  </si>
  <si>
    <t>Lost Scroll</t>
  </si>
  <si>
    <t>Nubian</t>
  </si>
  <si>
    <t>Early Lybian</t>
  </si>
  <si>
    <t>Later Sumerian or Akkadian</t>
  </si>
  <si>
    <t>Old or Middle Egyptian</t>
  </si>
  <si>
    <t>Hyksos</t>
  </si>
  <si>
    <t>Mitanni</t>
  </si>
  <si>
    <t>Syro-Canaanite</t>
  </si>
  <si>
    <t>New Kingdom Egyptian</t>
  </si>
  <si>
    <t>Later Minoan or Early Mycenaean</t>
  </si>
  <si>
    <t>Hittite Empire</t>
  </si>
  <si>
    <t>Middle or Early Neo-Assyrian</t>
  </si>
  <si>
    <t>Later Mycenean or Trojan</t>
  </si>
  <si>
    <t>Sea Peoples</t>
  </si>
  <si>
    <t>Philistine</t>
  </si>
  <si>
    <t>Neo-Hittite and Aramaean</t>
  </si>
  <si>
    <t>Later Hebrew</t>
  </si>
  <si>
    <t>Libyan Egyptian</t>
  </si>
  <si>
    <t>Urartian</t>
  </si>
  <si>
    <t>Median</t>
  </si>
  <si>
    <t>Neo-Elamite</t>
  </si>
  <si>
    <t>Cimmerian or Early Skythian</t>
  </si>
  <si>
    <t>Neo-Assyrian Empire</t>
  </si>
  <si>
    <t>Kushite Egyptian</t>
  </si>
  <si>
    <t>Neo-Babylonian Empire</t>
  </si>
  <si>
    <t>Epée</t>
  </si>
  <si>
    <t>Infanterie d'impact</t>
  </si>
  <si>
    <t>Javelot</t>
  </si>
  <si>
    <t xml:space="preserve">Lance  </t>
  </si>
  <si>
    <t>Pique</t>
  </si>
  <si>
    <t>Infanterie d'impact Epée</t>
  </si>
  <si>
    <t>Expert à l'Epée</t>
  </si>
  <si>
    <t>Infanterie d'impact Expert à l'Epée</t>
  </si>
  <si>
    <t>Lance légère Expert à l'Epée</t>
  </si>
  <si>
    <t>Lance légère Epée</t>
  </si>
  <si>
    <t>Lance Epée</t>
  </si>
  <si>
    <t>Infantes de asalto Espadas</t>
  </si>
  <si>
    <t>Lanza ligera Espadas</t>
  </si>
  <si>
    <t>Lanceros Espadas</t>
  </si>
  <si>
    <t>Infantes de asalto Espadas excelentes</t>
  </si>
  <si>
    <t>Lanza ligera Espadas excelentes</t>
  </si>
  <si>
    <t>Armure lourde</t>
  </si>
  <si>
    <t>Protection</t>
  </si>
  <si>
    <t>Sans Protection</t>
  </si>
  <si>
    <t>Civilisé</t>
  </si>
  <si>
    <t>Rural</t>
  </si>
  <si>
    <t>Collines</t>
  </si>
  <si>
    <t>Forêts</t>
  </si>
  <si>
    <t>Steppes</t>
  </si>
  <si>
    <t>Montagnes</t>
  </si>
  <si>
    <t>Désert</t>
  </si>
  <si>
    <t>Close Combat</t>
  </si>
  <si>
    <t>Corps à corps</t>
  </si>
  <si>
    <t xml:space="preserve"> melee</t>
  </si>
  <si>
    <t xml:space="preserve">Shooting </t>
  </si>
  <si>
    <t xml:space="preserve">Tir </t>
  </si>
  <si>
    <t xml:space="preserve">Fernkampf </t>
  </si>
  <si>
    <t xml:space="preserve"> Tiro</t>
  </si>
  <si>
    <t>Feudal Catalan &amp; Early crown of Aragon</t>
  </si>
  <si>
    <t>Early Hungarian</t>
  </si>
  <si>
    <t>Taifa Andalusian</t>
  </si>
  <si>
    <t>Feudal Navarrese and Aragonese</t>
  </si>
  <si>
    <t>Feudal Castillian, Leonese or Portuguese</t>
  </si>
  <si>
    <t>Fanatic Berber</t>
  </si>
  <si>
    <t>Italo-Norman</t>
  </si>
  <si>
    <t>Feudal French</t>
  </si>
  <si>
    <t>Imperial German</t>
  </si>
  <si>
    <t>Feudal German</t>
  </si>
  <si>
    <t>Communal Italian</t>
  </si>
  <si>
    <t>Papal Italian</t>
  </si>
  <si>
    <t>Early Scots Isles and Highlands</t>
  </si>
  <si>
    <t>Feudal Scots</t>
  </si>
  <si>
    <t>Early Russian</t>
  </si>
  <si>
    <t>Feudal Polish</t>
  </si>
  <si>
    <t>Anglo-Norman</t>
  </si>
  <si>
    <t>Later Welsh</t>
  </si>
  <si>
    <t>Early Lithanian or Samogitian</t>
  </si>
  <si>
    <t>Wendish, Prussian, Estonian</t>
  </si>
  <si>
    <t>Early Medieval Frisia and other Free Canton</t>
  </si>
  <si>
    <t>Post-Viking Scandinavian</t>
  </si>
  <si>
    <t>Early Plantagenet English</t>
  </si>
  <si>
    <t>Later Sicilian</t>
  </si>
  <si>
    <t>Early Medieval Irish</t>
  </si>
  <si>
    <t>Early Anglo-Irish</t>
  </si>
  <si>
    <t>Early Teutonic Knights</t>
  </si>
  <si>
    <t>Mongol invasion</t>
  </si>
  <si>
    <t>Early Granadine</t>
  </si>
  <si>
    <t>Middle Plantagenet English</t>
  </si>
  <si>
    <t>Commander Type</t>
  </si>
  <si>
    <t>Commander Name</t>
  </si>
  <si>
    <t>Ally?</t>
  </si>
  <si>
    <t>Number</t>
  </si>
  <si>
    <t>Value</t>
  </si>
  <si>
    <t>Yes</t>
  </si>
  <si>
    <t>PBI</t>
  </si>
  <si>
    <t>Information sur l'armée</t>
  </si>
  <si>
    <t>Información sobre el ejército</t>
  </si>
  <si>
    <t>Nom des Commandants</t>
  </si>
  <si>
    <t>Nombre de Commandantes</t>
  </si>
  <si>
    <t>Type de Commandant</t>
  </si>
  <si>
    <t>Tipo de Commandante</t>
  </si>
  <si>
    <t>Allié?</t>
  </si>
  <si>
    <t>Aliado?</t>
  </si>
  <si>
    <t>Quantité</t>
  </si>
  <si>
    <t>Cantidad</t>
  </si>
  <si>
    <t>Valeur</t>
  </si>
  <si>
    <t xml:space="preserve">Valor   </t>
  </si>
  <si>
    <t>Wert</t>
  </si>
  <si>
    <t>No</t>
  </si>
  <si>
    <t>Oui</t>
  </si>
  <si>
    <t>Si</t>
  </si>
  <si>
    <t xml:space="preserve">Non  </t>
  </si>
  <si>
    <t>Nein</t>
  </si>
  <si>
    <t>CV</t>
  </si>
  <si>
    <t>KN</t>
  </si>
  <si>
    <t>Name and Surname</t>
  </si>
  <si>
    <t>Nom et Prénom</t>
  </si>
  <si>
    <t>Nombre y Apellido</t>
  </si>
  <si>
    <t>E-mail</t>
  </si>
  <si>
    <t>E-Mail</t>
  </si>
  <si>
    <t>Tel</t>
  </si>
  <si>
    <t>Tél</t>
  </si>
  <si>
    <t>Tel.</t>
  </si>
  <si>
    <t>Capabilities</t>
  </si>
  <si>
    <t>Cost</t>
  </si>
  <si>
    <t>Deterioration</t>
  </si>
  <si>
    <t>Date de l'armée</t>
  </si>
  <si>
    <t>Fecha del ejército</t>
  </si>
  <si>
    <t>Type des troupes</t>
  </si>
  <si>
    <t>Tipo de las tropas</t>
  </si>
  <si>
    <t>Capacités</t>
  </si>
  <si>
    <t>Capacidades</t>
  </si>
  <si>
    <t>Coste</t>
  </si>
  <si>
    <t>Kosten</t>
  </si>
  <si>
    <t>Déterioration</t>
  </si>
  <si>
    <t>Verschlechterung</t>
  </si>
  <si>
    <t>Deterioro</t>
  </si>
  <si>
    <t>Nombre de Base</t>
  </si>
  <si>
    <t>Coût</t>
  </si>
  <si>
    <t>Nom des Troupes</t>
  </si>
  <si>
    <t>Troop Name</t>
  </si>
  <si>
    <t>Fonction</t>
  </si>
  <si>
    <t>Funktion</t>
  </si>
  <si>
    <t>Funcion</t>
  </si>
  <si>
    <t xml:space="preserve">Field </t>
  </si>
  <si>
    <t xml:space="preserve">Troop </t>
  </si>
  <si>
    <t xml:space="preserve">Sub </t>
  </si>
  <si>
    <t>Ally</t>
  </si>
  <si>
    <t>Language Option</t>
  </si>
  <si>
    <t>Option de Langue</t>
  </si>
  <si>
    <t>Opcion de Lengua</t>
  </si>
  <si>
    <t>Sprachoption</t>
  </si>
  <si>
    <t>Nombre de fortfication de champ</t>
  </si>
  <si>
    <t>Numeroso fortfication de campo</t>
  </si>
  <si>
    <t>Camelry; Port. Def.</t>
  </si>
  <si>
    <t>Chamelerie; Obs. Portés</t>
  </si>
  <si>
    <t>Camellería; Def. Port</t>
  </si>
  <si>
    <t>Information Sur le joueur</t>
  </si>
  <si>
    <t>Información sobre el jugador</t>
  </si>
  <si>
    <t>Order of March</t>
  </si>
  <si>
    <t>Army Date</t>
  </si>
  <si>
    <t>Army Information</t>
  </si>
  <si>
    <t>BG Deployment</t>
  </si>
  <si>
    <t>BG Value</t>
  </si>
  <si>
    <t>Book Name</t>
  </si>
  <si>
    <t>Defensive Spearmen</t>
  </si>
  <si>
    <t>Game Information</t>
  </si>
  <si>
    <t>Heavily Armoured</t>
  </si>
  <si>
    <t>Heavy Artillery</t>
  </si>
  <si>
    <t>Heavy Weapon</t>
  </si>
  <si>
    <t>Impact Foot</t>
  </si>
  <si>
    <t>Impact Foot Skilled Swordsmen</t>
  </si>
  <si>
    <t>Impact Foot Swordsmen</t>
  </si>
  <si>
    <t>Light Artillery</t>
  </si>
  <si>
    <t>Light Spear</t>
  </si>
  <si>
    <t>Light Spear Skilled Swordsmen</t>
  </si>
  <si>
    <t>List Name</t>
  </si>
  <si>
    <t>List Number</t>
  </si>
  <si>
    <t>Number of Bases</t>
  </si>
  <si>
    <t>Offensive Spearmen</t>
  </si>
  <si>
    <t>Order of Book</t>
  </si>
  <si>
    <t>Page Number</t>
  </si>
  <si>
    <t>Personnal Information</t>
  </si>
  <si>
    <t>Point per Base</t>
  </si>
  <si>
    <t>Skilled Swordsmen</t>
  </si>
  <si>
    <t>Player Information</t>
  </si>
  <si>
    <t>Troop Type</t>
  </si>
  <si>
    <t>Tel Number</t>
  </si>
  <si>
    <t>Field Fortification Total</t>
  </si>
  <si>
    <t>2.3.3</t>
  </si>
  <si>
    <t>2.3.2</t>
  </si>
  <si>
    <t>2.3.1</t>
  </si>
  <si>
    <t>1.7.2</t>
  </si>
  <si>
    <t>For the lazy players (like me), choose your booklet in the drop-down menu and type the n° page of the Contents</t>
  </si>
  <si>
    <t>Revision</t>
  </si>
  <si>
    <t xml:space="preserve">Pour les joueurs faineants ( comme moi), choisissez votre livret dans le menu deroulant et tapez le n° de page de l'index dans la cellule  correspondante  </t>
  </si>
  <si>
    <t>afin d'indiquer la liste d'armée.</t>
  </si>
  <si>
    <t>Mixed Battle Groups</t>
  </si>
  <si>
    <t>Heavy Foot</t>
  </si>
  <si>
    <t>Archers</t>
  </si>
  <si>
    <t>English - Support</t>
  </si>
  <si>
    <t>Français - Support</t>
  </si>
  <si>
    <t>Shooting</t>
  </si>
  <si>
    <t>Number of bases</t>
  </si>
  <si>
    <t>Point per base</t>
  </si>
  <si>
    <t>BG value</t>
  </si>
  <si>
    <t>Troop type</t>
  </si>
  <si>
    <t>Register mixed Battle Groups (standard troops plus supporting archers) by inserting the same number in the Order of March</t>
  </si>
  <si>
    <t>Example below is a single BG of Heavy foot and supporting archers</t>
  </si>
  <si>
    <t xml:space="preserve">Do not enter values into cells with yellow backgrounds. </t>
  </si>
  <si>
    <t>These are reserved cells that contain formulas which automatically generate values depending on data you enter in other cells.</t>
  </si>
  <si>
    <t>Reserved Cells</t>
  </si>
  <si>
    <t>Select the required language from the "Language Option" cell.</t>
  </si>
  <si>
    <t>This will change all the headers to the required lanuage.</t>
  </si>
  <si>
    <t>Semi automatic translation of the French and spanish data (the translition is done starting from a new sheet)</t>
  </si>
  <si>
    <t xml:space="preserve">Order of Book </t>
  </si>
  <si>
    <t>Specials</t>
  </si>
  <si>
    <t xml:space="preserve">Graphics </t>
  </si>
  <si>
    <t>Renamed file to "ArmyListGenerator_x.x" (x_x indicating the spreadsheet version)</t>
  </si>
  <si>
    <t>Renamed header to "Camels and Port Def."</t>
  </si>
  <si>
    <t>Deleted column and its funtionality as no longer to be used</t>
  </si>
  <si>
    <t>File Name</t>
  </si>
  <si>
    <t>Tournament Information</t>
  </si>
  <si>
    <t>in the corresponding cell in order to indicate the list of army</t>
  </si>
  <si>
    <t>ex:</t>
  </si>
  <si>
    <t>Battle Groups</t>
  </si>
  <si>
    <t>39 positions are now available to register BG's</t>
  </si>
  <si>
    <t>Back Office</t>
  </si>
  <si>
    <t>Change of the charter</t>
  </si>
  <si>
    <t>Details</t>
  </si>
  <si>
    <t>The deployment of the BG now accepts up to 36 different BG</t>
  </si>
  <si>
    <t>Added cell to accomadate this functionality</t>
  </si>
  <si>
    <t>Correction of Autobreack and 25% are calculated with the help of "order of march " cells.</t>
  </si>
  <si>
    <t>Bug Fix</t>
  </si>
  <si>
    <t>The real counting of BG in the BG number all counting are made on the first line of mixed BG.</t>
  </si>
  <si>
    <t>Mob Troops</t>
  </si>
  <si>
    <t>BG Total</t>
  </si>
  <si>
    <t>Attrition</t>
  </si>
  <si>
    <t>Change Made</t>
  </si>
  <si>
    <t>Autobreak Column</t>
  </si>
  <si>
    <t>Scythed Chariots</t>
  </si>
  <si>
    <t>Real counting of BG in the BG number</t>
  </si>
  <si>
    <t>Can now be "protected" armour class</t>
  </si>
  <si>
    <t>Order Of March</t>
  </si>
  <si>
    <t>Abbreviations</t>
  </si>
  <si>
    <t>Rewording to make them identical to the rule book</t>
  </si>
  <si>
    <t>Artillery</t>
  </si>
  <si>
    <t>Battle Wagons</t>
  </si>
  <si>
    <t>Allied General</t>
  </si>
  <si>
    <t>Pre Battle Initiative</t>
  </si>
  <si>
    <t>Correction for mounted</t>
  </si>
  <si>
    <t>Weapons</t>
  </si>
  <si>
    <t>Automatic calculation once the order of march filled</t>
  </si>
  <si>
    <t>Automatic calculation (It is necessary to indicate in the column “special” the CinC)</t>
  </si>
  <si>
    <t>Nationality can be changed. This modifies the headings into the selected language ( Thanks to Vincent)</t>
  </si>
  <si>
    <t>Datasheets</t>
  </si>
  <si>
    <t>They are masked to avoid errors</t>
  </si>
  <si>
    <t>Now have different Quality</t>
  </si>
  <si>
    <t>Speadsheet Name</t>
  </si>
  <si>
    <t>Given official name</t>
  </si>
  <si>
    <t>Now Elephant and scythed chariot don't need to have quality selected ( They are always average)</t>
  </si>
  <si>
    <t>The cells are freed in order to allow a ranking filter on the column</t>
  </si>
  <si>
    <t>Troops</t>
  </si>
  <si>
    <t>A filter is in order on the column to clean the useless lines ( you have just to strip the box "vacuums")</t>
  </si>
  <si>
    <t>Formulas</t>
  </si>
  <si>
    <t>Major re-design of the presentation</t>
  </si>
  <si>
    <t>Major re-design of the presentation adding Player, Army and Game Information sections</t>
  </si>
  <si>
    <t>Added FOG logo</t>
  </si>
  <si>
    <t>Is gathered in only one stringcourse. (If it are not useful to you , mask them!)</t>
  </si>
  <si>
    <t>BG Deployement</t>
  </si>
  <si>
    <t>Spreadsheet Design</t>
  </si>
  <si>
    <t>Speadsheet Design</t>
  </si>
  <si>
    <t>Re-arrangement</t>
  </si>
  <si>
    <t>Troops types</t>
  </si>
  <si>
    <t>Setting the columns in the same order as in the army list books</t>
  </si>
  <si>
    <t>Correction of a bug</t>
  </si>
  <si>
    <t>Generals and fortified camp don't need this value, their identity is recalled</t>
  </si>
  <si>
    <t>Topic</t>
  </si>
  <si>
    <t>Visit Nicolas's website and Field of Glory website to download the latest version of the ArmyListGenerator and examples of how to use it.</t>
  </si>
  <si>
    <t>www.fieldofglory.com</t>
  </si>
  <si>
    <t>Rendez vous sur le site de Nicolas afin de telecharger la derniere version du calculateur et de trouver des exemples de son utilisation.</t>
  </si>
  <si>
    <t>Site de support</t>
  </si>
  <si>
    <t>Support Website</t>
  </si>
  <si>
    <t>Goupe de Bataille Mixte</t>
  </si>
  <si>
    <t>Il faut enregistrer le Groupe de bataille mixte avec le même ordre de marche</t>
  </si>
  <si>
    <t>L'exemple ci-dessous vous montre le procédé avec un Groupe d'infanterie lourde supporté par des archers.</t>
  </si>
  <si>
    <t>Infanterie Lourde</t>
  </si>
  <si>
    <t>Cellules protégées</t>
  </si>
  <si>
    <t xml:space="preserve">N'entrez aucuner valeur dans les cellules de couleur. </t>
  </si>
  <si>
    <t>Option de langue</t>
  </si>
  <si>
    <t>Cela change tous les en tête et les menus deroulant dans la langue choisie</t>
  </si>
  <si>
    <t>Nom de la feuille</t>
  </si>
  <si>
    <t>les hordes</t>
  </si>
  <si>
    <t>Feuilles de calcul</t>
  </si>
  <si>
    <t>Ordre de Marche</t>
  </si>
  <si>
    <t>Troupes</t>
  </si>
  <si>
    <t>Formule</t>
  </si>
  <si>
    <t>Option de langage</t>
  </si>
  <si>
    <t>Elle doit etre choisie à la création de la liste en indiquant son choix dans la cellule option de langage.</t>
  </si>
  <si>
    <t>Le changement ne peut etre fait pendant la création car il génere des erreurs dans toutes les cellules de calculs ayant une désignation non numerique.</t>
  </si>
  <si>
    <t>Elles contiennent toutes des formules necessaires à l'execution des differents calculs ou à leur conversion en differentes langues</t>
  </si>
  <si>
    <t xml:space="preserve"> Option de Langue</t>
  </si>
  <si>
    <t>Initiative d'avant Bataille</t>
  </si>
  <si>
    <t>Correction des bugs pour certaines competences martiales</t>
  </si>
  <si>
    <t>Competences martiales</t>
  </si>
  <si>
    <t>Design de la feuille</t>
  </si>
  <si>
    <t>Abréviations</t>
  </si>
  <si>
    <t>Artillerie</t>
  </si>
  <si>
    <t>Total des BG</t>
  </si>
  <si>
    <t>Correction de Bug</t>
  </si>
  <si>
    <t>Colonne autobreak</t>
  </si>
  <si>
    <t xml:space="preserve"> Information de tournoi</t>
  </si>
  <si>
    <t>nom de la feuille</t>
  </si>
  <si>
    <t>nom des listes</t>
  </si>
  <si>
    <t>Fortification de champ</t>
  </si>
  <si>
    <t>Colonne special</t>
  </si>
  <si>
    <t>Graphique</t>
  </si>
  <si>
    <t>Ajout d'une cellule afin de les identifier facilement</t>
  </si>
  <si>
    <t>Ajout de logo FOG avec l'autorisation de JD Mc Neil</t>
  </si>
  <si>
    <t>Nouveau nom de la feuille.</t>
  </si>
  <si>
    <t>Gros travail de design sur la feuille avec l'apparition des blocs en en tête en collaboration avec Rich Love</t>
  </si>
  <si>
    <t>Rebaptisation de la colonne spéciales qui ne contient plus que cela.</t>
  </si>
  <si>
    <t>Disparition de la colonne car non utilisée</t>
  </si>
  <si>
    <t>By Karsten Loh</t>
  </si>
  <si>
    <t xml:space="preserve">Note that the language should be set before you try and enter values into any cells. Changing the language on a sheet with existing values already entered into cells will result in a calculation error ("#N/A" ) appearing in some cells.   </t>
  </si>
  <si>
    <t>Italiano</t>
  </si>
  <si>
    <t>Indirizzo</t>
  </si>
  <si>
    <t>Agricolo</t>
  </si>
  <si>
    <t>Alleati</t>
  </si>
  <si>
    <t>Generale alleato</t>
  </si>
  <si>
    <t>Alleato?</t>
  </si>
  <si>
    <t>Armatura</t>
  </si>
  <si>
    <t>Corazzato</t>
  </si>
  <si>
    <t>Data dell'esercito</t>
  </si>
  <si>
    <t>Informazioni sull'esercito</t>
  </si>
  <si>
    <t>Valore dei Punti di Attrito per la tabella dei punteggi di FOG</t>
  </si>
  <si>
    <t>Punto di rottura spontanea</t>
  </si>
  <si>
    <t>Medio</t>
  </si>
  <si>
    <t>Schieramento dei BG</t>
  </si>
  <si>
    <t>Valore dei BG</t>
  </si>
  <si>
    <t>Numero del BHGS</t>
  </si>
  <si>
    <t>Nome del libro</t>
  </si>
  <si>
    <t>Arco</t>
  </si>
  <si>
    <t>Cammelli</t>
  </si>
  <si>
    <t>Abilità</t>
  </si>
  <si>
    <t>Combattimento corpo a corpo</t>
  </si>
  <si>
    <t>Nome del comandante</t>
  </si>
  <si>
    <t xml:space="preserve">Tipo di comandante </t>
  </si>
  <si>
    <t>Costo</t>
  </si>
  <si>
    <t>Balestra</t>
  </si>
  <si>
    <t>Lance difensivo</t>
  </si>
  <si>
    <t>Deserto</t>
  </si>
  <si>
    <t>Deterioramento</t>
  </si>
  <si>
    <t>Sviluppato</t>
  </si>
  <si>
    <t>sviluppato</t>
  </si>
  <si>
    <t>Addestrati</t>
  </si>
  <si>
    <t>Arma da fuoco</t>
  </si>
  <si>
    <t>Totale fortificazioni campali</t>
  </si>
  <si>
    <t xml:space="preserve">Campo fortificato </t>
  </si>
  <si>
    <t>Informazioni sulla partita</t>
  </si>
  <si>
    <t>Generale</t>
  </si>
  <si>
    <t>Completamente corazzati</t>
  </si>
  <si>
    <t>Artiglieria pesante</t>
  </si>
  <si>
    <t>Armi pesanti</t>
  </si>
  <si>
    <t>Collinare</t>
  </si>
  <si>
    <t>Fanteria da impatto</t>
  </si>
  <si>
    <t>Fanteria da impatto Spadaccini abili</t>
  </si>
  <si>
    <t>Fanteria da impatto Spadaccini</t>
  </si>
  <si>
    <t>POA da impatto</t>
  </si>
  <si>
    <t>Importante: non toccare le cello colorate</t>
  </si>
  <si>
    <t>Giavellotti</t>
  </si>
  <si>
    <t>Lancieri</t>
  </si>
  <si>
    <t>Lancieri spadaccini</t>
  </si>
  <si>
    <t>Opzione di lingua</t>
  </si>
  <si>
    <t>Artiglieria leggera</t>
  </si>
  <si>
    <t>Lance leggere</t>
  </si>
  <si>
    <t>Lance leggere Spadaccini abili</t>
  </si>
  <si>
    <t>Lance leggere Spadaccini</t>
  </si>
  <si>
    <t>Nome della lista</t>
  </si>
  <si>
    <t>Numero della lista</t>
  </si>
  <si>
    <t>Arco lungo</t>
  </si>
  <si>
    <t>Montagnoso</t>
  </si>
  <si>
    <t>Nome e cognome</t>
  </si>
  <si>
    <t>Nazionalità</t>
  </si>
  <si>
    <t>Numero</t>
  </si>
  <si>
    <t>Numero di basi</t>
  </si>
  <si>
    <t>Numero dei BG</t>
  </si>
  <si>
    <t xml:space="preserve">Lance offensiva </t>
  </si>
  <si>
    <t>Ordine del libro</t>
  </si>
  <si>
    <t>Ordine di marcia</t>
  </si>
  <si>
    <t>Altro</t>
  </si>
  <si>
    <t>Numero pagina</t>
  </si>
  <si>
    <t>Informazioni personali</t>
  </si>
  <si>
    <t>Picche</t>
  </si>
  <si>
    <t>Punti per base</t>
  </si>
  <si>
    <t>Scadenti</t>
  </si>
  <si>
    <t>Ost. Mobili</t>
  </si>
  <si>
    <t>Modificatore pre battaglia</t>
  </si>
  <si>
    <t>Protetta</t>
  </si>
  <si>
    <t>Qualità</t>
  </si>
  <si>
    <t>Tiro</t>
  </si>
  <si>
    <t>Spadaccini abili</t>
  </si>
  <si>
    <t>Fionde</t>
  </si>
  <si>
    <t>Lance</t>
  </si>
  <si>
    <t>Speciale</t>
  </si>
  <si>
    <t>Steppa</t>
  </si>
  <si>
    <t>Superiore</t>
  </si>
  <si>
    <t>Spadaccini</t>
  </si>
  <si>
    <t>Numero di telefono</t>
  </si>
  <si>
    <t>Tipo di territorio</t>
  </si>
  <si>
    <t>Informazione sul giocatore</t>
  </si>
  <si>
    <t>Torneo</t>
  </si>
  <si>
    <t>Addestramento</t>
  </si>
  <si>
    <t>Tipo di truppa</t>
  </si>
  <si>
    <t>Nome di truppa</t>
  </si>
  <si>
    <t>Tropicale</t>
  </si>
  <si>
    <t>Non addestrati</t>
  </si>
  <si>
    <t>Non protetti</t>
  </si>
  <si>
    <t>Valore</t>
  </si>
  <si>
    <t>Boschivo</t>
  </si>
  <si>
    <t>Ufficio</t>
  </si>
  <si>
    <t>Cammelli; Ost. mobili</t>
  </si>
  <si>
    <t>Alliierte</t>
  </si>
  <si>
    <t>Alliierter Befehlshaber</t>
  </si>
  <si>
    <t>Alliierter?</t>
  </si>
  <si>
    <t>Gepanzert</t>
  </si>
  <si>
    <t>Armeedatum</t>
  </si>
  <si>
    <t>Informationen über die Armee</t>
  </si>
  <si>
    <t>Verlustpunkt Wert für den FOG Abrechnungsbogen</t>
  </si>
  <si>
    <t>Automatisches brechen</t>
  </si>
  <si>
    <t>Aufteilung der KV</t>
  </si>
  <si>
    <t>KV Wert</t>
  </si>
  <si>
    <t>Buchtitel:</t>
  </si>
  <si>
    <t>Bogen</t>
  </si>
  <si>
    <t>Fähigkeiten</t>
  </si>
  <si>
    <t>OB</t>
  </si>
  <si>
    <t>Nahkampf</t>
  </si>
  <si>
    <t>Name der Befehlshaber</t>
  </si>
  <si>
    <t>Befehlshabertyp</t>
  </si>
  <si>
    <t>Gesamtzahl Feldbefestigungen</t>
  </si>
  <si>
    <t>Befestigtes Lager</t>
  </si>
  <si>
    <t>Schwer Gepanzert</t>
  </si>
  <si>
    <t>Schwere Artillerie</t>
  </si>
  <si>
    <t>Schwere Waffe</t>
  </si>
  <si>
    <t>Stoßtruppen</t>
  </si>
  <si>
    <t>Stoßtruppen überl. Schwertkämpfer</t>
  </si>
  <si>
    <t>Stoßtruppen Schwertkämpfer</t>
  </si>
  <si>
    <t>Angriffs VP</t>
  </si>
  <si>
    <t>Achtung: Bitte nichts in die eingefärbten Zellen schreiben.</t>
  </si>
  <si>
    <t>Lanzen</t>
  </si>
  <si>
    <t>Lanzen Schwertkämpfer</t>
  </si>
  <si>
    <t>Leichte Artillerie</t>
  </si>
  <si>
    <t>Leichter Speer</t>
  </si>
  <si>
    <t>leichter Speer überl. Schwertkämpfer</t>
  </si>
  <si>
    <t>Leichter Speer Schwertkämpfer</t>
  </si>
  <si>
    <t>Anzahl</t>
  </si>
  <si>
    <t>Anzahl der Basen</t>
  </si>
  <si>
    <t>Anzahl der KV</t>
  </si>
  <si>
    <t>Offensiver Speerträger</t>
  </si>
  <si>
    <t>Buchreihenfolge</t>
  </si>
  <si>
    <t>Persönliche Informationen</t>
  </si>
  <si>
    <t>Piken</t>
  </si>
  <si>
    <t>Unterdurchschnittlich</t>
  </si>
  <si>
    <t>Tragbare Hindernisse</t>
  </si>
  <si>
    <t>Initiativmodifikator</t>
  </si>
  <si>
    <t>Überlegene Schwertkämpfer</t>
  </si>
  <si>
    <t>Besonderheit</t>
  </si>
  <si>
    <t>Überdurchschnittlich</t>
  </si>
  <si>
    <t>Spielerinformationen</t>
  </si>
  <si>
    <t>Truppentyp</t>
  </si>
  <si>
    <t>Ja</t>
  </si>
  <si>
    <t>Kamelreiter; tragb. Hindern.</t>
  </si>
  <si>
    <t>Arbeitsblatt Aufbau</t>
  </si>
  <si>
    <t>Komplette Umgestaltung der Präsentation, Übersichtsektionen für Spieler, Armee und Befehlshaber hinzugefügt.</t>
  </si>
  <si>
    <t>Feldbefestigungen Summe</t>
  </si>
  <si>
    <t>Anzeigezelle für diese neue Funktion hinzugefügt.</t>
  </si>
  <si>
    <t>Entfernt da nicht länger verwendet.</t>
  </si>
  <si>
    <t>Überschrift zu: „Kamele und tragbare Hindernisse“ geändert.</t>
  </si>
  <si>
    <t>Grafik</t>
  </si>
  <si>
    <t>FoG Logo hinzugefügt.</t>
  </si>
  <si>
    <t>Dateiname</t>
  </si>
  <si>
    <t>Dateiname in "ArmyListGenerator_x.x" geändert (wobei x_x die Versionsnr. darstellt.)</t>
  </si>
  <si>
    <t>Turnierinformationen</t>
  </si>
  <si>
    <t>Wird in einer einzigen Variablen gespeichert.</t>
  </si>
  <si>
    <t>Diese spalte wurde hinzugefügt um die Arbeit der Listenprüfer zu vereinfachen.</t>
  </si>
  <si>
    <t>Reservierte Zellen</t>
  </si>
  <si>
    <t>Bitte nichts in die eingefärbten Zeilen schreiben, sie enthalten alle formeln und werden automatisch ausgefüllt.</t>
  </si>
  <si>
    <t>Listenname</t>
  </si>
  <si>
    <t>Für Faule spieler (wie mich), wählt das Armeebuch im Menü und gebt die Seitenzahl (aus dem Inhaltsverzeichnis) ein</t>
  </si>
  <si>
    <t>Die entsprechende Armee wird dann automatisch ermittelt.</t>
  </si>
  <si>
    <t>z.B.:</t>
  </si>
  <si>
    <t>Kampfverbände</t>
  </si>
  <si>
    <t>Es können nun bis zu 39 Zeilen für KV (und gemischte KV) berücksichtigt werden.</t>
  </si>
  <si>
    <t>KV Aufteilung</t>
  </si>
  <si>
    <t>Es werden nun bis zu 36 verschiedene Kampfverbände akzeptiert.</t>
  </si>
  <si>
    <t>Automatisches Brechen</t>
  </si>
  <si>
    <t>Befehlshaber und Generäle benötigen diesen Wert nicht, dies wird nun berücksichtigt.</t>
  </si>
  <si>
    <t>Einige Änderungen</t>
  </si>
  <si>
    <t>Detailkorrekturen</t>
  </si>
  <si>
    <t>Neu-Gestaltet</t>
  </si>
  <si>
    <t>Truppentypen</t>
  </si>
  <si>
    <t>Die Spalten sind nun in der gleichen Reihenfolge wie in den Armeebüchern.</t>
  </si>
  <si>
    <t>Sichelstreitwagen</t>
  </si>
  <si>
    <t>Ein Fehler behoben</t>
  </si>
  <si>
    <t>Die tatsächliche Zahl der KV wird nun hier angezeigt.</t>
  </si>
  <si>
    <t>Fehlerkorrektur, automatisches Brechen und 25% Zahl werden nun unter mit Hilfe der Marschordnungszellen berechnet.</t>
  </si>
  <si>
    <t>Fehlerkorrektur. Die tatsächlichen Angaben zu einem KV werden nun in der ersten Zeile eines gemischten KV angezeigt.</t>
  </si>
  <si>
    <t>Mob Truppen</t>
  </si>
  <si>
    <t>Können jetzt die Rüstungsklasse „Geschützt“ zugewiesen bekommen</t>
  </si>
  <si>
    <t>Verluste</t>
  </si>
  <si>
    <t>Verlustpunkte werden nun vom offiziellen „scoring sheet“ übernommen.</t>
  </si>
  <si>
    <t>Komplette Umgestaltung im Aufbau des Arbeitsblattes</t>
  </si>
  <si>
    <t>Sprachoptionen</t>
  </si>
  <si>
    <t>Deutsche Version hinzugefügt</t>
  </si>
  <si>
    <t>Wichtiger Hinweise zur Marschordnung hinzugefügt.</t>
  </si>
  <si>
    <t>„Mob“ muss nun eine Rüstungsklasse zugewiesen bekommen.</t>
  </si>
  <si>
    <t>Abkürzungen</t>
  </si>
  <si>
    <t>Geändert um sie denen der Regeln anzugleichen</t>
  </si>
  <si>
    <t>Vorteilspunkte “Schwere Artillerie” und “Leichte Artillerie” neu hinzugefügt.</t>
  </si>
  <si>
    <t>Kampfwagen</t>
  </si>
  <si>
    <t>Kampfwagen mit leichter Artillerie können diese nun unter Fernkampf VP auch aufführen.</t>
  </si>
  <si>
    <t>Die reduzierten kosten für einen Alliierten Befehlshaber werden nun automatisch berücksichtigt wenn dieser unter Spezial so definiert wird.</t>
  </si>
  <si>
    <t>Bewaffnung</t>
  </si>
  <si>
    <t>Initiative vor der Schlacht</t>
  </si>
  <si>
    <t>Elefanten und Sichelstreitwagen können durchschnittlicher Qualität sein, ohne den Wert zu ändern</t>
  </si>
  <si>
    <t>automatische Berechnung der Aufstellung, sobald die Marschordnung eingegeben ist</t>
  </si>
  <si>
    <t>halbautomatische Sprachwahl (die Übersetzung wird in einer neuen Tabelle erzeugt)</t>
  </si>
  <si>
    <t>Die Nationalität kann eingestellt werden, das erzeugt Spaltenüberschriften in der entsprechenden Sprache (Dank an Vincent)</t>
  </si>
  <si>
    <t>Formeln</t>
  </si>
  <si>
    <t>Datenblatt</t>
  </si>
  <si>
    <t>Arbeitsblatt Name</t>
  </si>
  <si>
    <t>Columna especial</t>
  </si>
  <si>
    <t>Nuevo nombre para esta columna</t>
  </si>
  <si>
    <t>Gráfico</t>
  </si>
  <si>
    <t>Añadido logo de FOG con el permiso de JD McNeil</t>
  </si>
  <si>
    <t>Nombre de la hoja</t>
  </si>
  <si>
    <t>Nuevo nombre para la hoja</t>
  </si>
  <si>
    <t>Información del torneo</t>
  </si>
  <si>
    <t>Las informaciones pertinentes a un torneo estan agrupadas en un solo cuadro. Si no sirven, se pueden enmascarar.</t>
  </si>
  <si>
    <t>Añadido columna para verificar el trabajo de verificacion de listas</t>
  </si>
  <si>
    <t>No hay que rellenar las celdas coloradas porque contienen formulas</t>
  </si>
  <si>
    <t>Nombre de las listas</t>
  </si>
  <si>
    <t xml:space="preserve">Para los vagos (como yo), se puede escoger el libro de listas en el menu y entrado el numero de pagina del índice se marca automaticamente la lista </t>
  </si>
  <si>
    <t>de ejercito</t>
  </si>
  <si>
    <t>BG</t>
  </si>
  <si>
    <t>39 posiciones disponibles para los diferentes BGs.</t>
  </si>
  <si>
    <t>El despliegue de los BGs accepta hasta 36 BGs distintos</t>
  </si>
  <si>
    <t>Columna autobreak</t>
  </si>
  <si>
    <t>En la columna autobreak, los generales y el campamento fortificado estan marcados como tal porque no necesitan este valor</t>
  </si>
  <si>
    <t>Diseño de la hoja</t>
  </si>
  <si>
    <t>Cambio colores</t>
  </si>
  <si>
    <t>Cambios menores</t>
  </si>
  <si>
    <t>Limpieza de las formulas</t>
  </si>
  <si>
    <t>cambio del orden de las columnas para coincidir con las listas</t>
  </si>
  <si>
    <t>Corregido bugs</t>
  </si>
  <si>
    <t>Corregido bug de carros falcados</t>
  </si>
  <si>
    <t>Total de los BGs</t>
  </si>
  <si>
    <t>calculo objetivo en el orden de marcha.</t>
  </si>
  <si>
    <t>Resuelto el problema de los BGs mixtos. El auto break y el 25% se calculan con las celdas de la primera linea del orden de marcha del BG mixto.</t>
  </si>
  <si>
    <t>Turbas</t>
  </si>
  <si>
    <t>Los "Mobs" pueden ser protegidos</t>
  </si>
  <si>
    <t>Atricion</t>
  </si>
  <si>
    <t>El calculo de la atrición se hace igual que la versión oficial de la hoja de puntuación</t>
  </si>
  <si>
    <t>Modificación importante de la presentación de la hoja</t>
  </si>
  <si>
    <t>Opciones de idiomas</t>
  </si>
  <si>
    <t>Añadido version alemana</t>
  </si>
  <si>
    <t>Añadido comentario para el orden de marcha</t>
  </si>
  <si>
    <t>Las "Mb" deben marcar su armadura</t>
  </si>
  <si>
    <t>Abreviaciones</t>
  </si>
  <si>
    <t>Cambio de las abreviaciones para que sean idénticos a los de la regla</t>
  </si>
  <si>
    <t>Artilleria</t>
  </si>
  <si>
    <t>Introdución de los POA de "Artilleria Pesada" y "Artilleria Ligera"</t>
  </si>
  <si>
    <t>Vagones de guerra</t>
  </si>
  <si>
    <t>Los vagones con artilleria deben marcar la casilla correspondiente con esta competencia</t>
  </si>
  <si>
    <t>General aliado</t>
  </si>
  <si>
    <t>El descuento para un general aliado se calcula cuando se seleciona esta opción en la casilla "especial"</t>
  </si>
  <si>
    <t>Corregido bugs en competencias</t>
  </si>
  <si>
    <t>Corregido algunas competencias</t>
  </si>
  <si>
    <t>Iniciativa</t>
  </si>
  <si>
    <t>Corregido la iniciativa para montados</t>
  </si>
  <si>
    <t>Elefantes y carros falcados pueden marcar su calidad como "media" sin afectar el coste.</t>
  </si>
  <si>
    <t>Cambios superficiales</t>
  </si>
  <si>
    <t>cálculo automático del despliegue una vez rellenado el orden de marcha</t>
  </si>
  <si>
    <t>cálculo automático de la iniciativa (es necesario indicar en la columna “especial” el CinC)</t>
  </si>
  <si>
    <t>Formula</t>
  </si>
  <si>
    <t>Orden de Marcha</t>
  </si>
  <si>
    <t>Hojas de calculo</t>
  </si>
  <si>
    <t>Las Turbas (Mob) pueden tener una calidad diferente</t>
  </si>
  <si>
    <t>Añadido nombre</t>
  </si>
  <si>
    <t>Español - Soporte</t>
  </si>
  <si>
    <t>Lugar de soporte</t>
  </si>
  <si>
    <t>Se puede descargar la ultima versión de la hoja en la web de Nicolas y ver ejemplos de como se utiliza</t>
  </si>
  <si>
    <t>BGs mixtos</t>
  </si>
  <si>
    <t>En el orden de marcha hay que poner el mismo numero para ambas lineas del BG mixto</t>
  </si>
  <si>
    <t>A continuación un ejemplo de un BG de infanteria pesada con apoyo de infanteria ligera</t>
  </si>
  <si>
    <t>Infanteria Pesada</t>
  </si>
  <si>
    <t>Normal</t>
  </si>
  <si>
    <t>Lanzas defensivas</t>
  </si>
  <si>
    <t>Arqueros</t>
  </si>
  <si>
    <t>Celdas protegidas</t>
  </si>
  <si>
    <t>No hay que cambiar nada en las celdas coloridas</t>
  </si>
  <si>
    <t>Contienen todas las formulas necesarias o su conversión en idiomas distintos</t>
  </si>
  <si>
    <t>Opción de idioma</t>
  </si>
  <si>
    <t>Tienen que elegir el idioma al inicio en la celda de selección idiomas</t>
  </si>
  <si>
    <t>Esto cambia todos los encabezados</t>
  </si>
  <si>
    <t>El cambio no puede hacerse mientras se rellena la hoja porque causa errores en la celdas de caluclo</t>
  </si>
  <si>
    <t>Latin Greece</t>
  </si>
  <si>
    <t>Erlitou-Shang Chinese</t>
  </si>
  <si>
    <t>Early Zhou Chinese</t>
  </si>
  <si>
    <t>Yayoi Japenese</t>
  </si>
  <si>
    <t>Early Horse Nomad</t>
  </si>
  <si>
    <t>Ko Choson Korean</t>
  </si>
  <si>
    <t>Warring States to Western Han Chinese</t>
  </si>
  <si>
    <t>Qiang and Di</t>
  </si>
  <si>
    <t>Three Kingdoms Korean</t>
  </si>
  <si>
    <t>Eastern Han Chinese</t>
  </si>
  <si>
    <t>Three Kingdoms, Wester Jin, and Southern Dynasties Chinese</t>
  </si>
  <si>
    <t>Kofun-Nara Japenese</t>
  </si>
  <si>
    <t>Northern Dynasties Chinese</t>
  </si>
  <si>
    <t>Later Hindu North Indian</t>
  </si>
  <si>
    <t>Later Hindu South Indian</t>
  </si>
  <si>
    <t>Central Asian City-States</t>
  </si>
  <si>
    <t>Western Wei to Early Tang Chinese</t>
  </si>
  <si>
    <t>Later Horse Nomad</t>
  </si>
  <si>
    <t>Tibetan</t>
  </si>
  <si>
    <t>Parhae Korean</t>
  </si>
  <si>
    <t>Late Tang to Five dynasties Chinese</t>
  </si>
  <si>
    <t>Khmer or Champa</t>
  </si>
  <si>
    <t>Koryo Korean</t>
  </si>
  <si>
    <t>Early Heian Japanese</t>
  </si>
  <si>
    <t>Pagan Burmese</t>
  </si>
  <si>
    <t>Liao</t>
  </si>
  <si>
    <t>Song Chinese</t>
  </si>
  <si>
    <t>Xi Xia</t>
  </si>
  <si>
    <t>Ghurid Afghan</t>
  </si>
  <si>
    <t>Jin</t>
  </si>
  <si>
    <t>Late Heian to Muromochi Japanese</t>
  </si>
  <si>
    <t>Mongol Conquest</t>
  </si>
  <si>
    <t>Muslim Indian Sultanates</t>
  </si>
  <si>
    <t>Medieval Indonesian or Malay</t>
  </si>
  <si>
    <t>Yuan Chinese</t>
  </si>
  <si>
    <t>Medieval Burmese</t>
  </si>
  <si>
    <t>Ming Chinese</t>
  </si>
  <si>
    <t>Yi Korean</t>
  </si>
  <si>
    <t>Nanzhao</t>
  </si>
  <si>
    <t>infanterie Polearm</t>
  </si>
  <si>
    <t>Polearm</t>
  </si>
  <si>
    <t>infanterie Firearm</t>
  </si>
  <si>
    <t>Knight Armour</t>
  </si>
  <si>
    <t>Cataphract Armour</t>
  </si>
  <si>
    <t>No Type</t>
  </si>
  <si>
    <t>Full list</t>
  </si>
  <si>
    <t>cavArmr</t>
  </si>
  <si>
    <t>Quality Lists</t>
  </si>
  <si>
    <t>ElQual</t>
  </si>
  <si>
    <t>AvQual</t>
  </si>
  <si>
    <t>MobQual</t>
  </si>
  <si>
    <t>AllQual</t>
  </si>
  <si>
    <t>CavMiss</t>
  </si>
  <si>
    <t>LHChMiss</t>
  </si>
  <si>
    <t>FootMiss</t>
  </si>
  <si>
    <t>KnWpn</t>
  </si>
  <si>
    <t>CavWpn</t>
  </si>
  <si>
    <t>ChWpn</t>
  </si>
  <si>
    <t>BWGMiss</t>
  </si>
  <si>
    <t>FootWpn</t>
  </si>
  <si>
    <t>BWGWpn</t>
  </si>
  <si>
    <t>Pike</t>
  </si>
  <si>
    <t>Pre Deployment</t>
  </si>
  <si>
    <t>Total Field Fortifications</t>
  </si>
  <si>
    <t>Fortifications</t>
  </si>
  <si>
    <t>Post Deployment</t>
  </si>
  <si>
    <t>Truppa</t>
  </si>
  <si>
    <t>Quantity</t>
  </si>
  <si>
    <t>Quantitat</t>
  </si>
  <si>
    <t>Quantita</t>
  </si>
  <si>
    <t xml:space="preserve"> Fortfication</t>
  </si>
  <si>
    <t>Feldbefestigungen</t>
  </si>
  <si>
    <t xml:space="preserve"> Fortificazioni</t>
  </si>
  <si>
    <t>Prima della distribuzione</t>
  </si>
  <si>
    <t>Dopo della distribuzione</t>
  </si>
  <si>
    <t>Vor Einsatz</t>
  </si>
  <si>
    <t>nach Einsatz</t>
  </si>
  <si>
    <t>Avant le déploiement</t>
  </si>
  <si>
    <t>Apres le déploiement</t>
  </si>
  <si>
    <t>Después del despliegue</t>
  </si>
  <si>
    <t>Antes del despliegue</t>
  </si>
  <si>
    <t>Army Size</t>
  </si>
  <si>
    <t>Battlegroups</t>
  </si>
  <si>
    <t>CatMiss</t>
  </si>
  <si>
    <t>Attrition Points</t>
  </si>
  <si>
    <t>Break Point</t>
  </si>
  <si>
    <t>Appointment</t>
  </si>
  <si>
    <t>All Missiles</t>
  </si>
  <si>
    <t>All Weapons</t>
  </si>
  <si>
    <t xml:space="preserve"> Arc.*</t>
  </si>
  <si>
    <t>Arco.*</t>
  </si>
  <si>
    <t>Bogen.*</t>
  </si>
  <si>
    <t>Characteristics</t>
  </si>
  <si>
    <t>Field</t>
  </si>
  <si>
    <t>Inspired</t>
  </si>
  <si>
    <t>Troop</t>
  </si>
  <si>
    <t xml:space="preserve">Inspired </t>
  </si>
  <si>
    <t>Phil Powell</t>
  </si>
  <si>
    <t>BHGS
Field of Glory V3
Army List Builder
V1.3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</si>
</sst>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 \+\ 0"/>
    <numFmt numFmtId="165" formatCode="\+\ 0"/>
    <numFmt numFmtId="166" formatCode="0#&quot; &quot;##&quot; &quot;##&quot; &quot;##&quot; &quot;##"/>
    <numFmt numFmtId="167" formatCode="0.0"/>
  </numFmts>
  <fonts count="47">
    <font>
      <sz val="10"/>
      <name val="Arial"/>
    </font>
    <font>
      <sz val="10"/>
      <color theme="1"/>
      <name val="Arial"/>
      <family val="2"/>
    </font>
    <font>
      <sz val="12"/>
      <name val="Book Antiqua"/>
      <family val="1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Book Antiqua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sz val="11"/>
      <name val="Arial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color indexed="57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43"/>
      <name val="Arial"/>
      <family val="2"/>
    </font>
    <font>
      <b/>
      <sz val="12"/>
      <color indexed="43"/>
      <name val="Arial"/>
      <family val="2"/>
    </font>
    <font>
      <b/>
      <sz val="10"/>
      <color indexed="43"/>
      <name val="Arial"/>
      <family val="2"/>
    </font>
    <font>
      <b/>
      <sz val="12"/>
      <color indexed="9"/>
      <name val="Arial"/>
      <family val="2"/>
    </font>
    <font>
      <sz val="10"/>
      <color indexed="43"/>
      <name val="Arial"/>
      <family val="2"/>
    </font>
    <font>
      <b/>
      <sz val="9"/>
      <color indexed="43"/>
      <name val="Arial"/>
      <family val="2"/>
    </font>
    <font>
      <b/>
      <i/>
      <sz val="10"/>
      <color indexed="9"/>
      <name val="Arial"/>
      <family val="2"/>
    </font>
    <font>
      <b/>
      <i/>
      <sz val="14"/>
      <color indexed="43"/>
      <name val="Arial"/>
      <family val="2"/>
    </font>
    <font>
      <sz val="14"/>
      <name val="Arial"/>
      <family val="2"/>
    </font>
    <font>
      <b/>
      <sz val="28"/>
      <name val="Arial"/>
      <family val="2"/>
    </font>
    <font>
      <sz val="12"/>
      <color indexed="43"/>
      <name val="Arial"/>
      <family val="2"/>
    </font>
    <font>
      <b/>
      <sz val="10"/>
      <color indexed="81"/>
      <name val="Tahoma"/>
      <family val="2"/>
    </font>
    <font>
      <b/>
      <i/>
      <sz val="12"/>
      <color indexed="43"/>
      <name val="Arial"/>
      <family val="2"/>
    </font>
    <font>
      <u/>
      <sz val="12"/>
      <color indexed="54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2"/>
      <color indexed="43"/>
      <name val="Arial"/>
      <family val="2"/>
    </font>
    <font>
      <sz val="12"/>
      <color indexed="43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sz val="18"/>
      <name val="Arial"/>
      <family val="2"/>
    </font>
    <font>
      <sz val="14"/>
      <color rgb="FF222222"/>
      <name val="Arial Unicode MS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5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50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7"/>
        <bgColor indexed="21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ADFFE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rgb="FF0070C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70C0"/>
      </bottom>
      <diagonal/>
    </border>
    <border>
      <left style="thin">
        <color indexed="64"/>
      </left>
      <right/>
      <top/>
      <bottom style="medium">
        <color rgb="FF0070C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0070C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2" fillId="0" borderId="1">
      <alignment horizontal="center" vertical="center"/>
      <protection locked="0"/>
    </xf>
  </cellStyleXfs>
  <cellXfs count="549">
    <xf numFmtId="0" fontId="0" fillId="0" borderId="0" xfId="0"/>
    <xf numFmtId="0" fontId="4" fillId="0" borderId="0" xfId="0" applyFont="1"/>
    <xf numFmtId="0" fontId="7" fillId="0" borderId="0" xfId="0" applyFont="1"/>
    <xf numFmtId="0" fontId="4" fillId="0" borderId="0" xfId="0" applyFont="1" applyProtection="1">
      <protection hidden="1"/>
    </xf>
    <xf numFmtId="0" fontId="4" fillId="2" borderId="0" xfId="0" applyFont="1" applyFill="1" applyProtection="1">
      <protection hidden="1"/>
    </xf>
    <xf numFmtId="164" fontId="4" fillId="0" borderId="0" xfId="0" applyNumberFormat="1" applyFont="1" applyProtection="1">
      <protection hidden="1"/>
    </xf>
    <xf numFmtId="0" fontId="4" fillId="0" borderId="0" xfId="0" applyFont="1" applyFill="1"/>
    <xf numFmtId="0" fontId="4" fillId="0" borderId="5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quotePrefix="1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4" fillId="0" borderId="7" xfId="0" quotePrefix="1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165" fontId="13" fillId="0" borderId="0" xfId="0" applyNumberFormat="1" applyFont="1" applyFill="1" applyBorder="1" applyAlignment="1" applyProtection="1">
      <alignment vertical="center" wrapText="1"/>
    </xf>
    <xf numFmtId="0" fontId="0" fillId="0" borderId="0" xfId="0" applyFill="1" applyBorder="1"/>
    <xf numFmtId="0" fontId="4" fillId="0" borderId="0" xfId="0" applyFont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4" fillId="0" borderId="10" xfId="0" quotePrefix="1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17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 applyProtection="1">
      <alignment horizontal="left" wrapText="1"/>
      <protection hidden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center"/>
      <protection hidden="1"/>
    </xf>
    <xf numFmtId="0" fontId="0" fillId="0" borderId="0" xfId="0" applyFill="1"/>
    <xf numFmtId="0" fontId="6" fillId="0" borderId="7" xfId="0" quotePrefix="1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0" xfId="0" quotePrefix="1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2" xfId="0" quotePrefix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vertical="center" wrapText="1"/>
    </xf>
    <xf numFmtId="0" fontId="4" fillId="3" borderId="10" xfId="0" applyFont="1" applyFill="1" applyBorder="1"/>
    <xf numFmtId="0" fontId="22" fillId="3" borderId="12" xfId="0" applyFont="1" applyFill="1" applyBorder="1" applyAlignment="1" applyProtection="1">
      <alignment horizontal="center" vertical="top" wrapText="1"/>
    </xf>
    <xf numFmtId="0" fontId="31" fillId="3" borderId="1" xfId="0" applyFont="1" applyFill="1" applyBorder="1" applyAlignment="1" applyProtection="1">
      <alignment horizontal="center" vertical="center" wrapText="1"/>
    </xf>
    <xf numFmtId="49" fontId="31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/>
    <xf numFmtId="0" fontId="4" fillId="5" borderId="0" xfId="0" applyFont="1" applyFill="1"/>
    <xf numFmtId="0" fontId="0" fillId="6" borderId="0" xfId="0" applyFill="1"/>
    <xf numFmtId="0" fontId="0" fillId="6" borderId="0" xfId="0" applyFill="1" applyAlignment="1"/>
    <xf numFmtId="0" fontId="0" fillId="7" borderId="0" xfId="0" applyFill="1" applyAlignment="1">
      <alignment horizontal="center"/>
    </xf>
    <xf numFmtId="0" fontId="0" fillId="6" borderId="8" xfId="0" applyFill="1" applyBorder="1" applyAlignment="1">
      <alignment horizontal="center"/>
    </xf>
    <xf numFmtId="0" fontId="0" fillId="7" borderId="8" xfId="0" applyFill="1" applyBorder="1" applyAlignment="1"/>
    <xf numFmtId="0" fontId="0" fillId="7" borderId="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4" fillId="7" borderId="8" xfId="0" applyFont="1" applyFill="1" applyBorder="1" applyAlignment="1"/>
    <xf numFmtId="0" fontId="0" fillId="7" borderId="0" xfId="0" applyFill="1" applyAlignment="1">
      <alignment horizontal="left"/>
    </xf>
    <xf numFmtId="0" fontId="0" fillId="7" borderId="8" xfId="0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4" fillId="5" borderId="0" xfId="0" applyFont="1" applyFill="1" applyBorder="1" applyAlignment="1"/>
    <xf numFmtId="0" fontId="0" fillId="0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Border="1" applyAlignment="1">
      <alignment horizontal="center"/>
    </xf>
    <xf numFmtId="167" fontId="0" fillId="7" borderId="0" xfId="0" applyNumberFormat="1" applyFill="1" applyAlignment="1">
      <alignment horizontal="left"/>
    </xf>
    <xf numFmtId="0" fontId="0" fillId="7" borderId="3" xfId="0" applyFill="1" applyBorder="1" applyAlignment="1">
      <alignment horizontal="left"/>
    </xf>
    <xf numFmtId="0" fontId="27" fillId="0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0" fontId="35" fillId="6" borderId="0" xfId="0" applyFont="1" applyFill="1"/>
    <xf numFmtId="0" fontId="35" fillId="3" borderId="10" xfId="0" applyFont="1" applyFill="1" applyBorder="1"/>
    <xf numFmtId="0" fontId="37" fillId="3" borderId="12" xfId="0" applyFont="1" applyFill="1" applyBorder="1" applyAlignment="1" applyProtection="1">
      <alignment horizontal="center" vertical="top" wrapText="1"/>
    </xf>
    <xf numFmtId="0" fontId="38" fillId="3" borderId="1" xfId="0" applyFont="1" applyFill="1" applyBorder="1" applyAlignment="1" applyProtection="1">
      <alignment horizontal="center" vertical="center" wrapText="1"/>
    </xf>
    <xf numFmtId="49" fontId="38" fillId="3" borderId="1" xfId="0" applyNumberFormat="1" applyFont="1" applyFill="1" applyBorder="1" applyAlignment="1" applyProtection="1">
      <alignment horizontal="center" vertical="center" wrapText="1"/>
    </xf>
    <xf numFmtId="0" fontId="35" fillId="0" borderId="1" xfId="0" applyFont="1" applyBorder="1" applyAlignment="1" applyProtection="1">
      <alignment horizontal="center" vertical="center"/>
      <protection locked="0"/>
    </xf>
    <xf numFmtId="0" fontId="35" fillId="0" borderId="14" xfId="0" applyFont="1" applyBorder="1" applyAlignment="1" applyProtection="1">
      <alignment vertical="center"/>
      <protection locked="0"/>
    </xf>
    <xf numFmtId="0" fontId="35" fillId="0" borderId="1" xfId="0" applyFont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/>
      <protection hidden="1"/>
    </xf>
    <xf numFmtId="0" fontId="39" fillId="8" borderId="1" xfId="0" applyFont="1" applyFill="1" applyBorder="1" applyAlignment="1" applyProtection="1">
      <alignment horizontal="center" vertical="center"/>
      <protection hidden="1"/>
    </xf>
    <xf numFmtId="0" fontId="35" fillId="2" borderId="1" xfId="0" applyFont="1" applyFill="1" applyBorder="1" applyAlignment="1">
      <alignment horizontal="center" vertical="center"/>
    </xf>
    <xf numFmtId="0" fontId="35" fillId="8" borderId="1" xfId="0" applyFont="1" applyFill="1" applyBorder="1" applyAlignment="1" applyProtection="1">
      <alignment horizontal="center" vertical="center" wrapText="1"/>
      <protection hidden="1"/>
    </xf>
    <xf numFmtId="0" fontId="0" fillId="5" borderId="0" xfId="0" applyFill="1"/>
    <xf numFmtId="0" fontId="0" fillId="5" borderId="0" xfId="0" applyFill="1" applyAlignment="1"/>
    <xf numFmtId="0" fontId="4" fillId="5" borderId="0" xfId="0" applyFont="1" applyFill="1" applyAlignment="1"/>
    <xf numFmtId="0" fontId="0" fillId="7" borderId="3" xfId="0" applyFill="1" applyBorder="1" applyAlignment="1">
      <alignment horizontal="center"/>
    </xf>
    <xf numFmtId="0" fontId="27" fillId="6" borderId="0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/>
    </xf>
    <xf numFmtId="0" fontId="8" fillId="0" borderId="0" xfId="0" applyFont="1"/>
    <xf numFmtId="0" fontId="0" fillId="9" borderId="0" xfId="0" applyFill="1"/>
    <xf numFmtId="0" fontId="0" fillId="9" borderId="16" xfId="0" applyFill="1" applyBorder="1" applyAlignment="1">
      <alignment horizontal="center"/>
    </xf>
    <xf numFmtId="167" fontId="0" fillId="10" borderId="0" xfId="0" applyNumberFormat="1" applyFill="1" applyAlignment="1">
      <alignment horizontal="left"/>
    </xf>
    <xf numFmtId="0" fontId="0" fillId="10" borderId="17" xfId="0" applyFont="1" applyFill="1" applyBorder="1" applyAlignment="1">
      <alignment horizontal="center"/>
    </xf>
    <xf numFmtId="0" fontId="0" fillId="10" borderId="0" xfId="0" applyFill="1" applyAlignment="1">
      <alignment horizontal="left"/>
    </xf>
    <xf numFmtId="0" fontId="0" fillId="10" borderId="18" xfId="0" applyFont="1" applyFill="1" applyBorder="1" applyAlignment="1">
      <alignment horizontal="center"/>
    </xf>
    <xf numFmtId="0" fontId="0" fillId="10" borderId="19" xfId="0" applyFill="1" applyBorder="1" applyAlignment="1">
      <alignment horizontal="left"/>
    </xf>
    <xf numFmtId="0" fontId="0" fillId="10" borderId="0" xfId="0" applyFill="1" applyBorder="1" applyAlignment="1">
      <alignment horizontal="center"/>
    </xf>
    <xf numFmtId="0" fontId="0" fillId="11" borderId="0" xfId="0" applyFill="1"/>
    <xf numFmtId="0" fontId="0" fillId="11" borderId="0" xfId="0" applyFill="1" applyAlignment="1"/>
    <xf numFmtId="0" fontId="0" fillId="10" borderId="16" xfId="0" applyFill="1" applyBorder="1" applyAlignment="1">
      <alignment horizontal="left"/>
    </xf>
    <xf numFmtId="0" fontId="0" fillId="10" borderId="20" xfId="0" applyFont="1" applyFill="1" applyBorder="1" applyAlignment="1">
      <alignment horizontal="center"/>
    </xf>
    <xf numFmtId="0" fontId="0" fillId="10" borderId="21" xfId="0" applyFill="1" applyBorder="1" applyAlignment="1">
      <alignment horizontal="left"/>
    </xf>
    <xf numFmtId="0" fontId="0" fillId="10" borderId="22" xfId="0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0" borderId="0" xfId="0" applyFont="1"/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3" fillId="26" borderId="0" xfId="0" applyFont="1" applyFill="1" applyAlignment="1" applyProtection="1">
      <alignment horizontal="left" wrapText="1"/>
      <protection hidden="1"/>
    </xf>
    <xf numFmtId="0" fontId="43" fillId="0" borderId="0" xfId="0" applyFont="1"/>
    <xf numFmtId="0" fontId="4" fillId="0" borderId="0" xfId="0" applyFont="1" applyFill="1" applyBorder="1" applyProtection="1"/>
    <xf numFmtId="0" fontId="29" fillId="0" borderId="0" xfId="0" applyFont="1" applyFill="1" applyProtection="1"/>
    <xf numFmtId="0" fontId="28" fillId="0" borderId="0" xfId="0" applyFont="1" applyFill="1" applyBorder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4" fillId="4" borderId="0" xfId="0" applyFont="1" applyFill="1" applyBorder="1" applyAlignment="1" applyProtection="1"/>
    <xf numFmtId="0" fontId="22" fillId="25" borderId="10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Protection="1"/>
    <xf numFmtId="0" fontId="4" fillId="0" borderId="0" xfId="0" applyFont="1" applyFill="1" applyBorder="1" applyAlignment="1" applyProtection="1"/>
    <xf numFmtId="0" fontId="0" fillId="0" borderId="0" xfId="0" applyBorder="1" applyProtection="1"/>
    <xf numFmtId="0" fontId="25" fillId="0" borderId="0" xfId="0" applyFont="1" applyFill="1" applyBorder="1" applyAlignment="1" applyProtection="1"/>
    <xf numFmtId="3" fontId="4" fillId="0" borderId="0" xfId="0" applyNumberFormat="1" applyFont="1" applyProtection="1"/>
    <xf numFmtId="0" fontId="4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wrapText="1"/>
    </xf>
    <xf numFmtId="0" fontId="22" fillId="25" borderId="54" xfId="0" applyFont="1" applyFill="1" applyBorder="1" applyAlignment="1" applyProtection="1">
      <alignment horizontal="center" vertical="center"/>
    </xf>
    <xf numFmtId="0" fontId="22" fillId="25" borderId="54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3" fillId="15" borderId="7" xfId="0" applyFont="1" applyFill="1" applyBorder="1" applyAlignment="1" applyProtection="1">
      <alignment horizontal="center" vertical="center"/>
    </xf>
    <xf numFmtId="0" fontId="3" fillId="15" borderId="46" xfId="0" applyFont="1" applyFill="1" applyBorder="1" applyAlignment="1" applyProtection="1">
      <alignment horizontal="center" vertical="center"/>
    </xf>
    <xf numFmtId="0" fontId="3" fillId="15" borderId="30" xfId="0" applyFont="1" applyFill="1" applyBorder="1" applyAlignment="1" applyProtection="1">
      <alignment horizontal="center" vertical="center" wrapText="1"/>
    </xf>
    <xf numFmtId="0" fontId="3" fillId="15" borderId="32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wrapTex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4" borderId="0" xfId="0" quotePrefix="1" applyFont="1" applyFill="1" applyBorder="1" applyProtection="1"/>
    <xf numFmtId="0" fontId="4" fillId="4" borderId="3" xfId="0" applyFont="1" applyFill="1" applyBorder="1" applyAlignment="1" applyProtection="1"/>
    <xf numFmtId="0" fontId="4" fillId="0" borderId="0" xfId="0" applyFont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45" fillId="15" borderId="2" xfId="0" applyFont="1" applyFill="1" applyBorder="1" applyAlignment="1">
      <alignment horizontal="center" vertical="center"/>
    </xf>
    <xf numFmtId="0" fontId="44" fillId="2" borderId="2" xfId="0" applyFont="1" applyFill="1" applyBorder="1" applyAlignment="1">
      <alignment horizontal="center" vertical="center"/>
    </xf>
    <xf numFmtId="0" fontId="44" fillId="0" borderId="2" xfId="0" applyFont="1" applyBorder="1" applyAlignment="1" applyProtection="1">
      <alignment horizontal="center" vertical="center"/>
      <protection locked="0"/>
    </xf>
    <xf numFmtId="0" fontId="44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44" fillId="0" borderId="15" xfId="0" applyFont="1" applyBorder="1" applyAlignment="1" applyProtection="1">
      <alignment horizontal="center" vertical="center"/>
      <protection locked="0"/>
    </xf>
    <xf numFmtId="0" fontId="44" fillId="0" borderId="15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21" fillId="25" borderId="57" xfId="0" applyFont="1" applyFill="1" applyBorder="1" applyAlignment="1" applyProtection="1">
      <alignment vertical="top" wrapText="1"/>
    </xf>
    <xf numFmtId="0" fontId="3" fillId="15" borderId="9" xfId="0" applyFont="1" applyFill="1" applyBorder="1" applyAlignment="1" applyProtection="1">
      <alignment horizontal="center" vertical="center"/>
      <protection hidden="1"/>
    </xf>
    <xf numFmtId="0" fontId="3" fillId="15" borderId="12" xfId="0" applyFont="1" applyFill="1" applyBorder="1" applyAlignment="1" applyProtection="1">
      <alignment horizontal="center" vertical="center"/>
      <protection hidden="1"/>
    </xf>
    <xf numFmtId="0" fontId="4" fillId="27" borderId="0" xfId="0" applyFont="1" applyFill="1" applyBorder="1" applyAlignment="1" applyProtection="1">
      <alignment horizontal="center"/>
    </xf>
    <xf numFmtId="0" fontId="26" fillId="27" borderId="0" xfId="0" applyFont="1" applyFill="1" applyBorder="1" applyAlignment="1" applyProtection="1">
      <alignment vertical="center" wrapText="1"/>
    </xf>
    <xf numFmtId="0" fontId="26" fillId="27" borderId="0" xfId="0" applyFont="1" applyFill="1" applyBorder="1" applyAlignment="1" applyProtection="1">
      <alignment horizontal="center" vertical="center" wrapText="1"/>
    </xf>
    <xf numFmtId="165" fontId="13" fillId="27" borderId="0" xfId="0" applyNumberFormat="1" applyFont="1" applyFill="1" applyBorder="1" applyAlignment="1" applyProtection="1">
      <alignment vertical="center" wrapText="1"/>
    </xf>
    <xf numFmtId="165" fontId="13" fillId="27" borderId="0" xfId="0" applyNumberFormat="1" applyFont="1" applyFill="1" applyBorder="1" applyAlignment="1" applyProtection="1">
      <alignment horizontal="center" vertical="center" wrapText="1"/>
    </xf>
    <xf numFmtId="0" fontId="11" fillId="27" borderId="0" xfId="0" quotePrefix="1" applyNumberFormat="1" applyFont="1" applyFill="1" applyBorder="1" applyAlignment="1" applyProtection="1">
      <alignment horizontal="center" vertical="center" wrapText="1"/>
    </xf>
    <xf numFmtId="0" fontId="11" fillId="27" borderId="0" xfId="0" applyNumberFormat="1" applyFont="1" applyFill="1" applyBorder="1" applyAlignment="1" applyProtection="1">
      <alignment horizontal="center" vertical="center" wrapText="1"/>
    </xf>
    <xf numFmtId="0" fontId="10" fillId="27" borderId="0" xfId="0" applyFont="1" applyFill="1" applyBorder="1" applyAlignment="1" applyProtection="1">
      <alignment horizontal="center" vertical="center"/>
    </xf>
    <xf numFmtId="0" fontId="4" fillId="27" borderId="0" xfId="0" applyFont="1" applyFill="1" applyProtection="1"/>
    <xf numFmtId="0" fontId="22" fillId="25" borderId="2" xfId="0" applyFont="1" applyFill="1" applyBorder="1" applyAlignment="1" applyProtection="1">
      <alignment vertical="center"/>
    </xf>
    <xf numFmtId="0" fontId="21" fillId="25" borderId="53" xfId="0" applyFont="1" applyFill="1" applyBorder="1" applyAlignment="1" applyProtection="1">
      <alignment horizontal="center" vertical="center"/>
    </xf>
    <xf numFmtId="0" fontId="22" fillId="25" borderId="62" xfId="0" applyFont="1" applyFill="1" applyBorder="1" applyAlignment="1" applyProtection="1">
      <alignment wrapText="1"/>
    </xf>
    <xf numFmtId="0" fontId="21" fillId="25" borderId="63" xfId="0" applyFont="1" applyFill="1" applyBorder="1" applyAlignment="1" applyProtection="1">
      <alignment vertical="center" wrapText="1"/>
    </xf>
    <xf numFmtId="0" fontId="21" fillId="25" borderId="5" xfId="0" applyFont="1" applyFill="1" applyBorder="1" applyAlignment="1" applyProtection="1">
      <alignment horizontal="center" vertical="top" wrapText="1"/>
    </xf>
    <xf numFmtId="0" fontId="45" fillId="15" borderId="5" xfId="0" applyFont="1" applyFill="1" applyBorder="1" applyAlignment="1">
      <alignment horizontal="center" vertical="center"/>
    </xf>
    <xf numFmtId="0" fontId="44" fillId="2" borderId="5" xfId="0" applyFont="1" applyFill="1" applyBorder="1" applyAlignment="1">
      <alignment horizontal="center" vertical="center"/>
    </xf>
    <xf numFmtId="0" fontId="21" fillId="25" borderId="39" xfId="0" applyFont="1" applyFill="1" applyBorder="1" applyAlignment="1" applyProtection="1">
      <alignment horizontal="center" vertical="top" wrapText="1"/>
    </xf>
    <xf numFmtId="0" fontId="21" fillId="25" borderId="64" xfId="0" applyFont="1" applyFill="1" applyBorder="1" applyAlignment="1" applyProtection="1">
      <alignment horizontal="center" vertical="top" wrapText="1"/>
    </xf>
    <xf numFmtId="0" fontId="21" fillId="25" borderId="47" xfId="0" applyFont="1" applyFill="1" applyBorder="1" applyAlignment="1" applyProtection="1">
      <alignment horizontal="center" vertical="top" wrapText="1"/>
    </xf>
    <xf numFmtId="0" fontId="44" fillId="15" borderId="41" xfId="0" applyFont="1" applyFill="1" applyBorder="1" applyAlignment="1">
      <alignment horizontal="center" vertical="center"/>
    </xf>
    <xf numFmtId="0" fontId="44" fillId="15" borderId="51" xfId="0" applyFont="1" applyFill="1" applyBorder="1" applyAlignment="1">
      <alignment horizontal="center" vertical="center" wrapText="1"/>
    </xf>
    <xf numFmtId="0" fontId="44" fillId="15" borderId="37" xfId="0" applyFont="1" applyFill="1" applyBorder="1" applyAlignment="1">
      <alignment horizontal="center" vertical="center"/>
    </xf>
    <xf numFmtId="0" fontId="44" fillId="15" borderId="42" xfId="0" applyFont="1" applyFill="1" applyBorder="1" applyAlignment="1">
      <alignment horizontal="center" vertical="center" wrapText="1"/>
    </xf>
    <xf numFmtId="0" fontId="44" fillId="15" borderId="34" xfId="0" applyFont="1" applyFill="1" applyBorder="1" applyAlignment="1">
      <alignment horizontal="center" vertical="center"/>
    </xf>
    <xf numFmtId="0" fontId="45" fillId="15" borderId="36" xfId="0" applyFont="1" applyFill="1" applyBorder="1" applyAlignment="1">
      <alignment horizontal="center" vertical="center"/>
    </xf>
    <xf numFmtId="0" fontId="44" fillId="2" borderId="36" xfId="0" applyFont="1" applyFill="1" applyBorder="1" applyAlignment="1">
      <alignment horizontal="center" vertical="center"/>
    </xf>
    <xf numFmtId="0" fontId="44" fillId="15" borderId="32" xfId="0" applyFont="1" applyFill="1" applyBorder="1" applyAlignment="1">
      <alignment horizontal="center" vertical="center" wrapText="1"/>
    </xf>
    <xf numFmtId="0" fontId="21" fillId="25" borderId="50" xfId="0" applyFont="1" applyFill="1" applyBorder="1" applyAlignment="1" applyProtection="1">
      <alignment vertical="top" wrapText="1"/>
    </xf>
    <xf numFmtId="0" fontId="21" fillId="25" borderId="65" xfId="0" applyFont="1" applyFill="1" applyBorder="1" applyAlignment="1" applyProtection="1">
      <alignment vertical="top" wrapText="1"/>
    </xf>
    <xf numFmtId="0" fontId="3" fillId="0" borderId="15" xfId="0" applyFont="1" applyFill="1" applyBorder="1" applyAlignment="1" applyProtection="1">
      <alignment horizontal="centerContinuous" vertical="center" wrapText="1"/>
      <protection locked="0"/>
    </xf>
    <xf numFmtId="0" fontId="3" fillId="0" borderId="13" xfId="0" applyFont="1" applyFill="1" applyBorder="1" applyAlignment="1" applyProtection="1">
      <alignment horizontal="centerContinuous" vertical="center" wrapText="1"/>
      <protection locked="0"/>
    </xf>
    <xf numFmtId="0" fontId="3" fillId="0" borderId="14" xfId="0" applyFont="1" applyFill="1" applyBorder="1" applyAlignment="1" applyProtection="1">
      <alignment horizontal="centerContinuous" vertical="center" wrapText="1"/>
      <protection locked="0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4" fillId="0" borderId="2" xfId="0" applyFont="1" applyBorder="1" applyProtection="1"/>
    <xf numFmtId="0" fontId="0" fillId="0" borderId="4" xfId="0" applyBorder="1" applyAlignment="1" applyProtection="1">
      <alignment horizontal="left"/>
    </xf>
    <xf numFmtId="0" fontId="0" fillId="0" borderId="0" xfId="0" applyAlignment="1" applyProtection="1">
      <alignment wrapText="1"/>
    </xf>
    <xf numFmtId="0" fontId="0" fillId="0" borderId="5" xfId="0" applyBorder="1" applyAlignment="1" applyProtection="1">
      <alignment horizontal="left"/>
    </xf>
    <xf numFmtId="1" fontId="0" fillId="0" borderId="6" xfId="0" applyNumberFormat="1" applyBorder="1" applyAlignment="1" applyProtection="1">
      <alignment horizontal="left"/>
    </xf>
    <xf numFmtId="0" fontId="4" fillId="0" borderId="1" xfId="0" applyFont="1" applyBorder="1" applyProtection="1"/>
    <xf numFmtId="0" fontId="4" fillId="0" borderId="13" xfId="0" quotePrefix="1" applyFont="1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2" xfId="0" applyBorder="1" applyProtection="1"/>
    <xf numFmtId="0" fontId="0" fillId="0" borderId="4" xfId="0" applyBorder="1" applyAlignment="1" applyProtection="1">
      <alignment horizontal="center"/>
    </xf>
    <xf numFmtId="0" fontId="4" fillId="0" borderId="1" xfId="0" quotePrefix="1" applyFont="1" applyBorder="1" applyAlignment="1" applyProtection="1">
      <alignment horizontal="center"/>
    </xf>
    <xf numFmtId="0" fontId="0" fillId="0" borderId="6" xfId="0" applyBorder="1" applyProtection="1"/>
    <xf numFmtId="0" fontId="0" fillId="0" borderId="2" xfId="0" applyBorder="1" applyAlignment="1" applyProtection="1">
      <alignment horizontal="left"/>
    </xf>
    <xf numFmtId="0" fontId="4" fillId="0" borderId="0" xfId="0" quotePrefix="1" applyFont="1" applyBorder="1" applyProtection="1"/>
    <xf numFmtId="0" fontId="0" fillId="0" borderId="6" xfId="0" applyBorder="1" applyAlignment="1" applyProtection="1">
      <alignment horizontal="center"/>
    </xf>
    <xf numFmtId="0" fontId="0" fillId="0" borderId="4" xfId="0" applyBorder="1" applyProtection="1"/>
    <xf numFmtId="0" fontId="0" fillId="0" borderId="1" xfId="0" applyBorder="1" applyProtection="1"/>
    <xf numFmtId="0" fontId="0" fillId="0" borderId="0" xfId="0" applyFill="1" applyBorder="1" applyProtection="1"/>
    <xf numFmtId="0" fontId="0" fillId="20" borderId="0" xfId="0" applyFill="1" applyBorder="1" applyProtection="1"/>
    <xf numFmtId="0" fontId="0" fillId="20" borderId="6" xfId="0" applyFill="1" applyBorder="1" applyProtection="1"/>
    <xf numFmtId="0" fontId="0" fillId="20" borderId="0" xfId="0" applyFill="1" applyProtection="1"/>
    <xf numFmtId="0" fontId="0" fillId="0" borderId="9" xfId="0" applyBorder="1" applyAlignment="1" applyProtection="1">
      <alignment vertical="center"/>
    </xf>
    <xf numFmtId="0" fontId="4" fillId="0" borderId="0" xfId="0" applyFont="1" applyBorder="1" applyProtection="1"/>
    <xf numFmtId="0" fontId="0" fillId="0" borderId="0" xfId="0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0" fillId="22" borderId="0" xfId="0" applyFill="1" applyBorder="1" applyProtection="1"/>
    <xf numFmtId="0" fontId="0" fillId="22" borderId="6" xfId="0" applyFill="1" applyBorder="1" applyProtection="1"/>
    <xf numFmtId="0" fontId="0" fillId="22" borderId="0" xfId="0" applyFill="1" applyBorder="1" applyAlignment="1" applyProtection="1">
      <alignment vertical="center"/>
    </xf>
    <xf numFmtId="0" fontId="0" fillId="22" borderId="6" xfId="0" applyFill="1" applyBorder="1" applyAlignment="1" applyProtection="1">
      <alignment vertical="center"/>
    </xf>
    <xf numFmtId="0" fontId="0" fillId="22" borderId="0" xfId="0" applyFill="1" applyAlignment="1" applyProtection="1">
      <alignment vertical="center"/>
    </xf>
    <xf numFmtId="1" fontId="0" fillId="0" borderId="6" xfId="0" applyNumberFormat="1" applyFill="1" applyBorder="1" applyAlignment="1" applyProtection="1">
      <alignment horizontal="left"/>
    </xf>
    <xf numFmtId="0" fontId="0" fillId="16" borderId="0" xfId="0" applyFill="1" applyBorder="1" applyProtection="1"/>
    <xf numFmtId="0" fontId="0" fillId="16" borderId="6" xfId="0" applyFill="1" applyBorder="1" applyProtection="1"/>
    <xf numFmtId="0" fontId="0" fillId="16" borderId="0" xfId="0" applyFill="1" applyProtection="1"/>
    <xf numFmtId="0" fontId="0" fillId="0" borderId="1" xfId="0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/>
    </xf>
    <xf numFmtId="0" fontId="0" fillId="17" borderId="0" xfId="0" applyFill="1" applyBorder="1" applyAlignment="1" applyProtection="1">
      <alignment vertical="center"/>
    </xf>
    <xf numFmtId="0" fontId="0" fillId="17" borderId="6" xfId="0" applyFill="1" applyBorder="1" applyAlignment="1" applyProtection="1">
      <alignment vertical="center"/>
    </xf>
    <xf numFmtId="0" fontId="0" fillId="17" borderId="0" xfId="0" applyFill="1" applyBorder="1" applyProtection="1"/>
    <xf numFmtId="0" fontId="0" fillId="17" borderId="6" xfId="0" applyFill="1" applyBorder="1" applyProtection="1"/>
    <xf numFmtId="0" fontId="0" fillId="17" borderId="0" xfId="0" applyFill="1" applyProtection="1"/>
    <xf numFmtId="0" fontId="0" fillId="0" borderId="6" xfId="0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/>
    </xf>
    <xf numFmtId="0" fontId="0" fillId="0" borderId="0" xfId="0" applyFont="1" applyFill="1" applyBorder="1" applyProtection="1"/>
    <xf numFmtId="0" fontId="4" fillId="0" borderId="6" xfId="0" applyFont="1" applyBorder="1" applyProtection="1"/>
    <xf numFmtId="1" fontId="0" fillId="0" borderId="6" xfId="0" applyNumberFormat="1" applyBorder="1" applyAlignment="1" applyProtection="1">
      <alignment horizontal="center"/>
    </xf>
    <xf numFmtId="0" fontId="0" fillId="21" borderId="0" xfId="0" applyFill="1" applyBorder="1" applyProtection="1"/>
    <xf numFmtId="0" fontId="0" fillId="21" borderId="6" xfId="0" applyFill="1" applyBorder="1" applyProtection="1"/>
    <xf numFmtId="0" fontId="0" fillId="21" borderId="0" xfId="0" applyFill="1" applyProtection="1"/>
    <xf numFmtId="0" fontId="5" fillId="0" borderId="2" xfId="0" applyFont="1" applyBorder="1" applyProtection="1"/>
    <xf numFmtId="0" fontId="0" fillId="23" borderId="0" xfId="0" applyFill="1" applyBorder="1" applyProtection="1"/>
    <xf numFmtId="0" fontId="0" fillId="23" borderId="6" xfId="0" applyFill="1" applyBorder="1" applyProtection="1"/>
    <xf numFmtId="0" fontId="0" fillId="23" borderId="0" xfId="0" applyFill="1" applyProtection="1"/>
    <xf numFmtId="0" fontId="0" fillId="0" borderId="5" xfId="0" applyBorder="1" applyProtection="1"/>
    <xf numFmtId="0" fontId="0" fillId="19" borderId="0" xfId="0" applyFill="1" applyBorder="1" applyProtection="1"/>
    <xf numFmtId="0" fontId="0" fillId="19" borderId="6" xfId="0" applyFill="1" applyBorder="1" applyProtection="1"/>
    <xf numFmtId="0" fontId="0" fillId="19" borderId="0" xfId="0" applyFill="1" applyProtection="1"/>
    <xf numFmtId="0" fontId="4" fillId="18" borderId="0" xfId="0" applyFont="1" applyFill="1" applyBorder="1" applyProtection="1"/>
    <xf numFmtId="0" fontId="4" fillId="18" borderId="6" xfId="0" applyFont="1" applyFill="1" applyBorder="1" applyProtection="1"/>
    <xf numFmtId="0" fontId="4" fillId="18" borderId="0" xfId="0" applyFont="1" applyFill="1" applyProtection="1"/>
    <xf numFmtId="0" fontId="0" fillId="0" borderId="7" xfId="0" applyBorder="1" applyProtection="1"/>
    <xf numFmtId="0" fontId="0" fillId="0" borderId="9" xfId="0" applyBorder="1" applyProtection="1"/>
    <xf numFmtId="0" fontId="0" fillId="0" borderId="1" xfId="0" applyFill="1" applyBorder="1" applyProtection="1"/>
    <xf numFmtId="0" fontId="0" fillId="0" borderId="8" xfId="0" applyBorder="1" applyProtection="1"/>
    <xf numFmtId="0" fontId="0" fillId="0" borderId="8" xfId="0" applyFill="1" applyBorder="1" applyProtection="1"/>
    <xf numFmtId="0" fontId="0" fillId="24" borderId="8" xfId="0" applyFill="1" applyBorder="1" applyProtection="1"/>
    <xf numFmtId="0" fontId="0" fillId="24" borderId="9" xfId="0" applyFill="1" applyBorder="1" applyProtection="1"/>
    <xf numFmtId="0" fontId="0" fillId="24" borderId="0" xfId="0" applyFill="1" applyProtection="1"/>
    <xf numFmtId="0" fontId="0" fillId="0" borderId="7" xfId="0" applyBorder="1" applyAlignment="1" applyProtection="1">
      <alignment horizontal="left"/>
    </xf>
    <xf numFmtId="1" fontId="0" fillId="0" borderId="9" xfId="0" applyNumberFormat="1" applyFill="1" applyBorder="1" applyAlignment="1" applyProtection="1">
      <alignment horizontal="left"/>
    </xf>
    <xf numFmtId="0" fontId="4" fillId="0" borderId="5" xfId="0" applyFont="1" applyBorder="1" applyProtection="1"/>
    <xf numFmtId="1" fontId="0" fillId="0" borderId="9" xfId="0" applyNumberFormat="1" applyBorder="1" applyAlignment="1" applyProtection="1">
      <alignment horizontal="center"/>
    </xf>
    <xf numFmtId="0" fontId="0" fillId="0" borderId="4" xfId="0" applyBorder="1" applyAlignment="1" applyProtection="1">
      <alignment horizontal="right"/>
    </xf>
    <xf numFmtId="0" fontId="0" fillId="0" borderId="6" xfId="0" applyBorder="1" applyAlignment="1" applyProtection="1">
      <alignment horizontal="right"/>
    </xf>
    <xf numFmtId="49" fontId="4" fillId="0" borderId="6" xfId="0" applyNumberFormat="1" applyFont="1" applyBorder="1" applyProtection="1"/>
    <xf numFmtId="0" fontId="4" fillId="0" borderId="0" xfId="0" quotePrefix="1" applyFont="1" applyAlignment="1" applyProtection="1">
      <alignment wrapText="1"/>
    </xf>
    <xf numFmtId="0" fontId="0" fillId="0" borderId="9" xfId="0" applyBorder="1" applyAlignment="1" applyProtection="1">
      <alignment horizontal="right"/>
    </xf>
    <xf numFmtId="0" fontId="4" fillId="0" borderId="5" xfId="0" quotePrefix="1" applyFont="1" applyBorder="1" applyAlignment="1" applyProtection="1">
      <alignment horizontal="left"/>
    </xf>
    <xf numFmtId="0" fontId="0" fillId="0" borderId="5" xfId="0" quotePrefix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0" borderId="7" xfId="0" applyFont="1" applyBorder="1" applyProtection="1"/>
    <xf numFmtId="49" fontId="4" fillId="0" borderId="9" xfId="0" applyNumberFormat="1" applyFont="1" applyBorder="1" applyProtection="1"/>
    <xf numFmtId="49" fontId="4" fillId="0" borderId="6" xfId="0" applyNumberFormat="1" applyFont="1" applyFill="1" applyBorder="1" applyProtection="1"/>
    <xf numFmtId="0" fontId="4" fillId="0" borderId="2" xfId="0" applyFont="1" applyBorder="1" applyAlignment="1" applyProtection="1">
      <alignment horizontal="left"/>
    </xf>
    <xf numFmtId="0" fontId="4" fillId="0" borderId="10" xfId="0" quotePrefix="1" applyFont="1" applyBorder="1" applyAlignment="1" applyProtection="1">
      <alignment horizontal="center" vertical="center"/>
    </xf>
    <xf numFmtId="0" fontId="4" fillId="0" borderId="0" xfId="0" applyFont="1" applyAlignment="1" applyProtection="1">
      <alignment wrapText="1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4" xfId="0" quotePrefix="1" applyFont="1" applyBorder="1" applyAlignment="1" applyProtection="1">
      <alignment wrapText="1"/>
    </xf>
    <xf numFmtId="0" fontId="4" fillId="0" borderId="6" xfId="0" quotePrefix="1" applyFont="1" applyBorder="1" applyAlignment="1" applyProtection="1">
      <alignment wrapText="1"/>
    </xf>
    <xf numFmtId="0" fontId="4" fillId="0" borderId="12" xfId="0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/>
    </xf>
    <xf numFmtId="0" fontId="4" fillId="0" borderId="0" xfId="0" quotePrefix="1" applyFont="1" applyProtection="1"/>
    <xf numFmtId="0" fontId="0" fillId="0" borderId="0" xfId="0" applyNumberFormat="1" applyAlignment="1" applyProtection="1">
      <alignment horizontal="center"/>
    </xf>
    <xf numFmtId="0" fontId="4" fillId="0" borderId="0" xfId="0" applyNumberFormat="1" applyFont="1" applyAlignment="1" applyProtection="1">
      <alignment horizontal="center"/>
    </xf>
    <xf numFmtId="0" fontId="0" fillId="0" borderId="6" xfId="0" applyBorder="1" applyAlignment="1" applyProtection="1">
      <alignment wrapText="1"/>
    </xf>
    <xf numFmtId="49" fontId="0" fillId="0" borderId="0" xfId="0" applyNumberFormat="1" applyAlignment="1" applyProtection="1">
      <alignment horizont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quotePrefix="1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49" fontId="4" fillId="0" borderId="0" xfId="0" applyNumberFormat="1" applyFont="1" applyAlignment="1" applyProtection="1">
      <alignment horizontal="left"/>
    </xf>
    <xf numFmtId="49" fontId="0" fillId="0" borderId="0" xfId="0" applyNumberFormat="1" applyAlignment="1" applyProtection="1">
      <alignment horizontal="left"/>
    </xf>
    <xf numFmtId="0" fontId="0" fillId="0" borderId="3" xfId="0" applyBorder="1" applyProtection="1"/>
    <xf numFmtId="0" fontId="0" fillId="0" borderId="3" xfId="0" applyBorder="1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4" fillId="0" borderId="0" xfId="0" quotePrefix="1" applyFont="1" applyAlignment="1" applyProtection="1">
      <alignment horizontal="center"/>
    </xf>
    <xf numFmtId="0" fontId="4" fillId="0" borderId="0" xfId="0" applyFont="1" applyAlignment="1" applyProtection="1">
      <alignment horizontal="center" vertical="center" wrapText="1"/>
    </xf>
    <xf numFmtId="0" fontId="4" fillId="0" borderId="10" xfId="0" quotePrefix="1" applyFont="1" applyBorder="1" applyAlignment="1" applyProtection="1">
      <alignment horizontal="center"/>
    </xf>
    <xf numFmtId="0" fontId="0" fillId="0" borderId="0" xfId="0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/>
    </xf>
    <xf numFmtId="0" fontId="0" fillId="0" borderId="3" xfId="0" quotePrefix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3" fillId="0" borderId="3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8" xfId="0" quotePrefix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4" fillId="0" borderId="0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0" fillId="0" borderId="0" xfId="0" quotePrefix="1" applyBorder="1" applyAlignment="1" applyProtection="1">
      <alignment horizontal="center"/>
    </xf>
    <xf numFmtId="0" fontId="4" fillId="0" borderId="0" xfId="0" quotePrefix="1" applyNumberFormat="1" applyFont="1" applyAlignment="1" applyProtection="1">
      <alignment horizontal="left"/>
    </xf>
    <xf numFmtId="0" fontId="4" fillId="0" borderId="0" xfId="0" applyNumberFormat="1" applyFont="1" applyAlignment="1" applyProtection="1">
      <alignment horizontal="left"/>
    </xf>
    <xf numFmtId="0" fontId="0" fillId="0" borderId="0" xfId="0" applyFont="1" applyProtection="1"/>
    <xf numFmtId="0" fontId="8" fillId="0" borderId="0" xfId="0" applyFont="1" applyProtection="1"/>
    <xf numFmtId="0" fontId="3" fillId="15" borderId="66" xfId="0" applyFont="1" applyFill="1" applyBorder="1" applyAlignment="1" applyProtection="1">
      <alignment horizontal="center" vertical="center" wrapText="1"/>
    </xf>
    <xf numFmtId="0" fontId="3" fillId="15" borderId="1" xfId="0" applyFont="1" applyFill="1" applyBorder="1" applyAlignment="1" applyProtection="1">
      <alignment horizontal="center" vertical="center" wrapText="1"/>
    </xf>
    <xf numFmtId="3" fontId="3" fillId="15" borderId="58" xfId="0" applyNumberFormat="1" applyFont="1" applyFill="1" applyBorder="1" applyAlignment="1" applyProtection="1">
      <alignment horizontal="left" vertical="center" wrapText="1"/>
    </xf>
    <xf numFmtId="3" fontId="3" fillId="15" borderId="59" xfId="0" applyNumberFormat="1" applyFont="1" applyFill="1" applyBorder="1" applyAlignment="1" applyProtection="1">
      <alignment horizontal="left" vertical="center" wrapText="1"/>
    </xf>
    <xf numFmtId="3" fontId="3" fillId="15" borderId="60" xfId="0" applyNumberFormat="1" applyFont="1" applyFill="1" applyBorder="1" applyAlignment="1" applyProtection="1">
      <alignment horizontal="left" vertical="center" wrapText="1"/>
    </xf>
    <xf numFmtId="3" fontId="3" fillId="15" borderId="15" xfId="0" applyNumberFormat="1" applyFont="1" applyFill="1" applyBorder="1" applyAlignment="1" applyProtection="1">
      <alignment horizontal="left" vertical="center" wrapText="1"/>
    </xf>
    <xf numFmtId="3" fontId="3" fillId="15" borderId="13" xfId="0" applyNumberFormat="1" applyFont="1" applyFill="1" applyBorder="1" applyAlignment="1" applyProtection="1">
      <alignment horizontal="left" vertical="center" wrapText="1"/>
    </xf>
    <xf numFmtId="3" fontId="3" fillId="15" borderId="14" xfId="0" applyNumberFormat="1" applyFont="1" applyFill="1" applyBorder="1" applyAlignment="1" applyProtection="1">
      <alignment horizontal="left" vertical="center" wrapText="1"/>
    </xf>
    <xf numFmtId="3" fontId="3" fillId="15" borderId="36" xfId="0" applyNumberFormat="1" applyFont="1" applyFill="1" applyBorder="1" applyAlignment="1" applyProtection="1">
      <alignment horizontal="left" vertical="center" wrapText="1"/>
    </xf>
    <xf numFmtId="3" fontId="3" fillId="15" borderId="35" xfId="0" applyNumberFormat="1" applyFont="1" applyFill="1" applyBorder="1" applyAlignment="1" applyProtection="1">
      <alignment horizontal="left" vertical="center" wrapText="1"/>
    </xf>
    <xf numFmtId="3" fontId="3" fillId="15" borderId="61" xfId="0" applyNumberFormat="1" applyFont="1" applyFill="1" applyBorder="1" applyAlignment="1" applyProtection="1">
      <alignment horizontal="left" vertical="center" wrapText="1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quotePrefix="1" applyNumberFormat="1" applyFont="1" applyFill="1" applyBorder="1" applyAlignment="1" applyProtection="1">
      <alignment horizontal="center" vertical="center" wrapText="1"/>
      <protection locked="0"/>
    </xf>
    <xf numFmtId="0" fontId="3" fillId="0" borderId="40" xfId="0" quotePrefix="1" applyNumberFormat="1" applyFont="1" applyFill="1" applyBorder="1" applyAlignment="1" applyProtection="1">
      <alignment horizontal="center" vertical="center" wrapText="1"/>
      <protection locked="0"/>
    </xf>
    <xf numFmtId="3" fontId="3" fillId="15" borderId="51" xfId="0" applyNumberFormat="1" applyFont="1" applyFill="1" applyBorder="1" applyAlignment="1" applyProtection="1">
      <alignment horizontal="center" vertical="center" wrapText="1"/>
    </xf>
    <xf numFmtId="3" fontId="3" fillId="15" borderId="46" xfId="0" applyNumberFormat="1" applyFont="1" applyFill="1" applyBorder="1" applyAlignment="1" applyProtection="1">
      <alignment horizontal="center" vertical="center" wrapText="1"/>
    </xf>
    <xf numFmtId="0" fontId="3" fillId="15" borderId="42" xfId="0" quotePrefix="1" applyNumberFormat="1" applyFont="1" applyFill="1" applyBorder="1" applyAlignment="1" applyProtection="1">
      <alignment horizontal="center" vertical="center" wrapText="1"/>
    </xf>
    <xf numFmtId="0" fontId="3" fillId="15" borderId="47" xfId="0" quotePrefix="1" applyNumberFormat="1" applyFont="1" applyFill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34" xfId="0" applyFont="1" applyBorder="1" applyAlignment="1" applyProtection="1">
      <alignment horizontal="center" wrapText="1"/>
      <protection locked="0"/>
    </xf>
    <xf numFmtId="0" fontId="3" fillId="0" borderId="35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2" fillId="25" borderId="2" xfId="0" applyFont="1" applyFill="1" applyBorder="1" applyAlignment="1" applyProtection="1">
      <alignment horizontal="center" vertical="center"/>
    </xf>
    <xf numFmtId="0" fontId="0" fillId="25" borderId="3" xfId="0" applyFill="1" applyBorder="1" applyProtection="1"/>
    <xf numFmtId="0" fontId="0" fillId="25" borderId="4" xfId="0" applyFill="1" applyBorder="1" applyProtection="1"/>
    <xf numFmtId="0" fontId="3" fillId="0" borderId="7" xfId="0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165" fontId="3" fillId="15" borderId="7" xfId="0" applyNumberFormat="1" applyFont="1" applyFill="1" applyBorder="1" applyAlignment="1" applyProtection="1">
      <alignment horizontal="center" vertical="center"/>
    </xf>
    <xf numFmtId="0" fontId="0" fillId="15" borderId="8" xfId="0" applyFill="1" applyBorder="1" applyProtection="1"/>
    <xf numFmtId="0" fontId="0" fillId="15" borderId="9" xfId="0" applyFill="1" applyBorder="1" applyProtection="1"/>
    <xf numFmtId="0" fontId="42" fillId="27" borderId="11" xfId="0" applyFont="1" applyFill="1" applyBorder="1" applyAlignment="1" applyProtection="1">
      <alignment horizontal="center" vertical="center" wrapText="1"/>
    </xf>
    <xf numFmtId="0" fontId="42" fillId="27" borderId="11" xfId="0" applyFont="1" applyFill="1" applyBorder="1" applyAlignment="1" applyProtection="1">
      <alignment horizontal="center" vertical="center"/>
    </xf>
    <xf numFmtId="0" fontId="33" fillId="4" borderId="15" xfId="0" applyFont="1" applyFill="1" applyBorder="1" applyAlignment="1" applyProtection="1">
      <alignment horizontal="center" vertical="center"/>
    </xf>
    <xf numFmtId="0" fontId="33" fillId="4" borderId="13" xfId="0" applyFont="1" applyFill="1" applyBorder="1" applyAlignment="1" applyProtection="1">
      <alignment horizontal="center" vertical="center"/>
    </xf>
    <xf numFmtId="0" fontId="33" fillId="4" borderId="14" xfId="0" applyFont="1" applyFill="1" applyBorder="1" applyAlignment="1" applyProtection="1">
      <alignment horizontal="center" vertical="center"/>
    </xf>
    <xf numFmtId="0" fontId="22" fillId="25" borderId="3" xfId="0" applyFont="1" applyFill="1" applyBorder="1" applyAlignment="1" applyProtection="1">
      <alignment horizontal="center" vertical="center"/>
    </xf>
    <xf numFmtId="0" fontId="22" fillId="25" borderId="4" xfId="0" applyFont="1" applyFill="1" applyBorder="1" applyAlignment="1" applyProtection="1">
      <alignment horizontal="center" vertical="center"/>
    </xf>
    <xf numFmtId="0" fontId="9" fillId="0" borderId="7" xfId="0" quotePrefix="1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22" fillId="25" borderId="15" xfId="0" applyFont="1" applyFill="1" applyBorder="1" applyAlignment="1" applyProtection="1">
      <alignment horizontal="center" vertical="center"/>
    </xf>
    <xf numFmtId="0" fontId="22" fillId="25" borderId="13" xfId="0" applyFont="1" applyFill="1" applyBorder="1" applyAlignment="1" applyProtection="1">
      <alignment horizontal="center" vertical="center"/>
    </xf>
    <xf numFmtId="0" fontId="22" fillId="25" borderId="14" xfId="0" applyFont="1" applyFill="1" applyBorder="1" applyAlignment="1" applyProtection="1">
      <alignment horizontal="center" vertical="center"/>
    </xf>
    <xf numFmtId="0" fontId="22" fillId="25" borderId="2" xfId="0" applyFont="1" applyFill="1" applyBorder="1" applyAlignment="1" applyProtection="1">
      <alignment horizontal="left" vertical="center"/>
    </xf>
    <xf numFmtId="0" fontId="22" fillId="25" borderId="4" xfId="0" applyFont="1" applyFill="1" applyBorder="1" applyAlignment="1" applyProtection="1">
      <alignment horizontal="left" vertical="center"/>
    </xf>
    <xf numFmtId="0" fontId="3" fillId="15" borderId="7" xfId="0" applyFont="1" applyFill="1" applyBorder="1" applyAlignment="1" applyProtection="1">
      <alignment horizontal="center" vertical="center"/>
    </xf>
    <xf numFmtId="0" fontId="3" fillId="15" borderId="9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/>
    </xf>
    <xf numFmtId="0" fontId="22" fillId="3" borderId="43" xfId="0" applyFont="1" applyFill="1" applyBorder="1" applyAlignment="1" applyProtection="1">
      <alignment horizontal="center" vertical="center" wrapText="1"/>
    </xf>
    <xf numFmtId="0" fontId="22" fillId="3" borderId="45" xfId="0" applyFont="1" applyFill="1" applyBorder="1" applyAlignment="1" applyProtection="1">
      <alignment horizontal="center" vertical="center" wrapText="1"/>
    </xf>
    <xf numFmtId="0" fontId="21" fillId="4" borderId="43" xfId="0" applyFont="1" applyFill="1" applyBorder="1" applyAlignment="1" applyProtection="1">
      <alignment horizontal="center" vertical="center"/>
    </xf>
    <xf numFmtId="0" fontId="21" fillId="4" borderId="44" xfId="0" applyFont="1" applyFill="1" applyBorder="1" applyAlignment="1" applyProtection="1">
      <alignment horizontal="center" vertical="center"/>
    </xf>
    <xf numFmtId="0" fontId="21" fillId="4" borderId="45" xfId="0" applyFont="1" applyFill="1" applyBorder="1" applyAlignment="1" applyProtection="1">
      <alignment horizontal="center" vertical="center"/>
    </xf>
    <xf numFmtId="0" fontId="22" fillId="25" borderId="53" xfId="0" applyFont="1" applyFill="1" applyBorder="1" applyAlignment="1" applyProtection="1">
      <alignment horizontal="center" vertical="center" wrapText="1"/>
    </xf>
    <xf numFmtId="0" fontId="22" fillId="25" borderId="43" xfId="0" applyFont="1" applyFill="1" applyBorder="1" applyAlignment="1" applyProtection="1">
      <alignment horizontal="center" vertical="center" wrapText="1"/>
    </xf>
    <xf numFmtId="0" fontId="22" fillId="25" borderId="44" xfId="0" applyFont="1" applyFill="1" applyBorder="1" applyAlignment="1" applyProtection="1">
      <alignment horizontal="center" vertical="center" wrapText="1"/>
    </xf>
    <xf numFmtId="0" fontId="21" fillId="4" borderId="43" xfId="0" applyFont="1" applyFill="1" applyBorder="1" applyAlignment="1" applyProtection="1">
      <alignment horizontal="center" wrapText="1"/>
    </xf>
    <xf numFmtId="0" fontId="22" fillId="4" borderId="44" xfId="0" applyFont="1" applyFill="1" applyBorder="1" applyAlignment="1" applyProtection="1">
      <alignment horizontal="center" wrapText="1"/>
    </xf>
    <xf numFmtId="0" fontId="22" fillId="4" borderId="45" xfId="0" applyFont="1" applyFill="1" applyBorder="1" applyAlignment="1" applyProtection="1">
      <alignment horizontal="center" wrapText="1"/>
    </xf>
    <xf numFmtId="0" fontId="21" fillId="3" borderId="48" xfId="0" applyFont="1" applyFill="1" applyBorder="1" applyAlignment="1" applyProtection="1">
      <alignment horizontal="center" vertical="center" wrapText="1"/>
    </xf>
    <xf numFmtId="0" fontId="21" fillId="3" borderId="50" xfId="0" applyFont="1" applyFill="1" applyBorder="1" applyAlignment="1" applyProtection="1">
      <alignment horizontal="center" vertical="center" wrapText="1"/>
    </xf>
    <xf numFmtId="0" fontId="21" fillId="3" borderId="39" xfId="0" applyFont="1" applyFill="1" applyBorder="1" applyAlignment="1" applyProtection="1">
      <alignment horizontal="center" vertical="center" wrapText="1"/>
    </xf>
    <xf numFmtId="0" fontId="21" fillId="3" borderId="56" xfId="0" applyFont="1" applyFill="1" applyBorder="1" applyAlignment="1" applyProtection="1">
      <alignment horizontal="center" vertical="center" wrapText="1"/>
    </xf>
    <xf numFmtId="0" fontId="30" fillId="15" borderId="41" xfId="0" applyFont="1" applyFill="1" applyBorder="1" applyAlignment="1" applyProtection="1">
      <alignment horizontal="center" vertical="center"/>
    </xf>
    <xf numFmtId="0" fontId="30" fillId="15" borderId="55" xfId="0" applyFont="1" applyFill="1" applyBorder="1" applyAlignment="1" applyProtection="1">
      <alignment horizontal="center" vertical="center"/>
    </xf>
    <xf numFmtId="0" fontId="30" fillId="15" borderId="39" xfId="0" applyFont="1" applyFill="1" applyBorder="1" applyAlignment="1" applyProtection="1">
      <alignment horizontal="center" vertical="center"/>
    </xf>
    <xf numFmtId="0" fontId="30" fillId="15" borderId="56" xfId="0" applyFont="1" applyFill="1" applyBorder="1" applyAlignment="1" applyProtection="1">
      <alignment horizontal="center" vertical="center"/>
    </xf>
    <xf numFmtId="0" fontId="22" fillId="3" borderId="44" xfId="0" applyFont="1" applyFill="1" applyBorder="1" applyAlignment="1" applyProtection="1">
      <alignment horizontal="center" vertical="center" wrapText="1"/>
    </xf>
    <xf numFmtId="0" fontId="22" fillId="3" borderId="49" xfId="0" applyFont="1" applyFill="1" applyBorder="1" applyAlignment="1" applyProtection="1">
      <alignment horizontal="center" vertical="center" wrapText="1"/>
    </xf>
    <xf numFmtId="0" fontId="22" fillId="3" borderId="50" xfId="0" applyFont="1" applyFill="1" applyBorder="1" applyAlignment="1" applyProtection="1">
      <alignment horizontal="center" vertical="center" wrapText="1"/>
    </xf>
    <xf numFmtId="0" fontId="22" fillId="25" borderId="52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/>
    </xf>
    <xf numFmtId="0" fontId="29" fillId="27" borderId="0" xfId="0" applyFont="1" applyFill="1" applyAlignment="1" applyProtection="1">
      <alignment horizontal="center"/>
    </xf>
    <xf numFmtId="0" fontId="3" fillId="15" borderId="7" xfId="0" applyFont="1" applyFill="1" applyBorder="1" applyAlignment="1" applyProtection="1">
      <alignment horizontal="center" vertical="center"/>
      <protection hidden="1"/>
    </xf>
    <xf numFmtId="0" fontId="0" fillId="4" borderId="13" xfId="0" applyFill="1" applyBorder="1" applyProtection="1"/>
    <xf numFmtId="0" fontId="0" fillId="4" borderId="14" xfId="0" applyFill="1" applyBorder="1" applyProtection="1"/>
    <xf numFmtId="166" fontId="3" fillId="0" borderId="7" xfId="0" applyNumberFormat="1" applyFont="1" applyBorder="1" applyAlignment="1" applyProtection="1">
      <alignment horizontal="center" vertical="center"/>
      <protection locked="0"/>
    </xf>
    <xf numFmtId="166" fontId="3" fillId="0" borderId="9" xfId="0" applyNumberFormat="1" applyFont="1" applyBorder="1" applyAlignment="1" applyProtection="1">
      <alignment horizontal="center" vertical="center"/>
      <protection locked="0"/>
    </xf>
    <xf numFmtId="0" fontId="21" fillId="25" borderId="2" xfId="0" applyFont="1" applyFill="1" applyBorder="1" applyAlignment="1" applyProtection="1">
      <alignment horizontal="center" vertical="center"/>
    </xf>
    <xf numFmtId="0" fontId="21" fillId="25" borderId="4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4" fillId="0" borderId="7" xfId="1" applyFont="1" applyBorder="1" applyAlignment="1" applyProtection="1">
      <alignment horizontal="center" vertical="center"/>
      <protection locked="0"/>
    </xf>
    <xf numFmtId="0" fontId="34" fillId="0" borderId="9" xfId="1" applyFont="1" applyBorder="1" applyAlignment="1" applyProtection="1">
      <alignment horizontal="center" vertical="center"/>
      <protection locked="0"/>
    </xf>
    <xf numFmtId="0" fontId="35" fillId="0" borderId="3" xfId="0" applyFont="1" applyBorder="1" applyAlignment="1"/>
    <xf numFmtId="0" fontId="37" fillId="3" borderId="10" xfId="0" applyFont="1" applyFill="1" applyBorder="1" applyAlignment="1" applyProtection="1">
      <alignment horizontal="center" vertical="center" wrapText="1"/>
    </xf>
    <xf numFmtId="0" fontId="37" fillId="3" borderId="12" xfId="0" applyFont="1" applyFill="1" applyBorder="1" applyAlignment="1" applyProtection="1">
      <alignment horizontal="center" vertical="center" wrapText="1"/>
    </xf>
    <xf numFmtId="0" fontId="37" fillId="3" borderId="15" xfId="0" applyFont="1" applyFill="1" applyBorder="1" applyAlignment="1" applyProtection="1">
      <alignment horizontal="center" vertical="center" wrapText="1"/>
    </xf>
    <xf numFmtId="0" fontId="37" fillId="3" borderId="13" xfId="0" applyFont="1" applyFill="1" applyBorder="1" applyAlignment="1" applyProtection="1">
      <alignment horizontal="center" vertical="center" wrapText="1"/>
    </xf>
    <xf numFmtId="0" fontId="37" fillId="3" borderId="14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35" fillId="7" borderId="15" xfId="0" applyFont="1" applyFill="1" applyBorder="1" applyAlignment="1">
      <alignment horizontal="center"/>
    </xf>
    <xf numFmtId="0" fontId="35" fillId="7" borderId="13" xfId="0" applyFont="1" applyFill="1" applyBorder="1" applyAlignment="1"/>
    <xf numFmtId="0" fontId="35" fillId="7" borderId="14" xfId="0" applyFont="1" applyFill="1" applyBorder="1" applyAlignment="1"/>
    <xf numFmtId="0" fontId="35" fillId="0" borderId="0" xfId="0" applyFont="1" applyBorder="1" applyAlignment="1"/>
    <xf numFmtId="0" fontId="27" fillId="6" borderId="0" xfId="0" applyFont="1" applyFill="1" applyBorder="1" applyAlignment="1">
      <alignment horizontal="center" vertical="center"/>
    </xf>
    <xf numFmtId="0" fontId="41" fillId="0" borderId="3" xfId="1" applyBorder="1" applyAlignment="1" applyProtection="1">
      <alignment horizontal="center"/>
    </xf>
    <xf numFmtId="0" fontId="35" fillId="0" borderId="0" xfId="0" applyFont="1" applyAlignment="1">
      <alignment horizontal="center"/>
    </xf>
    <xf numFmtId="0" fontId="35" fillId="7" borderId="0" xfId="0" applyFont="1" applyFill="1" applyBorder="1" applyAlignment="1">
      <alignment horizontal="center"/>
    </xf>
    <xf numFmtId="0" fontId="35" fillId="0" borderId="0" xfId="0" applyFont="1" applyAlignment="1"/>
    <xf numFmtId="0" fontId="35" fillId="0" borderId="12" xfId="0" applyFont="1" applyBorder="1"/>
    <xf numFmtId="0" fontId="36" fillId="0" borderId="0" xfId="1" applyFont="1" applyAlignment="1" applyProtection="1">
      <alignment horizontal="center"/>
    </xf>
    <xf numFmtId="0" fontId="41" fillId="0" borderId="8" xfId="1" applyBorder="1" applyAlignment="1" applyProtection="1">
      <alignment horizontal="center"/>
    </xf>
    <xf numFmtId="0" fontId="40" fillId="0" borderId="8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35" fillId="0" borderId="8" xfId="0" applyFont="1" applyBorder="1" applyAlignment="1">
      <alignment horizontal="left"/>
    </xf>
    <xf numFmtId="0" fontId="41" fillId="0" borderId="13" xfId="1" applyBorder="1" applyAlignment="1" applyProtection="1">
      <alignment horizontal="center"/>
    </xf>
    <xf numFmtId="0" fontId="35" fillId="5" borderId="0" xfId="0" applyFont="1" applyFill="1" applyAlignment="1"/>
    <xf numFmtId="0" fontId="0" fillId="0" borderId="0" xfId="0" applyAlignment="1"/>
    <xf numFmtId="0" fontId="35" fillId="0" borderId="0" xfId="0" applyFont="1" applyFill="1" applyBorder="1" applyAlignment="1">
      <alignment horizontal="left"/>
    </xf>
    <xf numFmtId="0" fontId="22" fillId="3" borderId="10" xfId="0" applyFont="1" applyFill="1" applyBorder="1" applyAlignment="1" applyProtection="1">
      <alignment horizontal="center" vertical="center" wrapText="1"/>
    </xf>
    <xf numFmtId="0" fontId="22" fillId="3" borderId="12" xfId="0" applyFont="1" applyFill="1" applyBorder="1" applyAlignment="1" applyProtection="1">
      <alignment horizontal="center" vertical="center" wrapText="1"/>
    </xf>
    <xf numFmtId="0" fontId="22" fillId="3" borderId="15" xfId="0" applyFont="1" applyFill="1" applyBorder="1" applyAlignment="1" applyProtection="1">
      <alignment horizontal="center" vertical="center" wrapText="1"/>
    </xf>
    <xf numFmtId="0" fontId="22" fillId="3" borderId="13" xfId="0" applyFont="1" applyFill="1" applyBorder="1" applyAlignment="1" applyProtection="1">
      <alignment horizontal="center" vertical="center" wrapText="1"/>
    </xf>
    <xf numFmtId="0" fontId="22" fillId="3" borderId="14" xfId="0" applyFont="1" applyFill="1" applyBorder="1" applyAlignment="1" applyProtection="1">
      <alignment horizontal="center" vertical="center" wrapText="1"/>
    </xf>
    <xf numFmtId="0" fontId="0" fillId="5" borderId="15" xfId="0" applyFill="1" applyBorder="1" applyAlignment="1"/>
    <xf numFmtId="0" fontId="0" fillId="5" borderId="13" xfId="0" applyFill="1" applyBorder="1" applyAlignment="1"/>
    <xf numFmtId="0" fontId="4" fillId="5" borderId="0" xfId="0" applyFont="1" applyFill="1" applyAlignment="1"/>
    <xf numFmtId="0" fontId="0" fillId="5" borderId="0" xfId="0" applyFill="1" applyAlignment="1"/>
    <xf numFmtId="0" fontId="4" fillId="5" borderId="0" xfId="0" applyFont="1" applyFill="1" applyBorder="1" applyAlignment="1"/>
    <xf numFmtId="0" fontId="0" fillId="5" borderId="0" xfId="0" applyFill="1" applyBorder="1" applyAlignment="1"/>
    <xf numFmtId="0" fontId="4" fillId="5" borderId="5" xfId="0" applyFont="1" applyFill="1" applyBorder="1" applyAlignment="1"/>
    <xf numFmtId="0" fontId="4" fillId="7" borderId="8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4" fillId="5" borderId="2" xfId="0" applyFont="1" applyFill="1" applyBorder="1" applyAlignment="1"/>
    <xf numFmtId="0" fontId="0" fillId="0" borderId="4" xfId="0" applyBorder="1" applyAlignment="1"/>
    <xf numFmtId="0" fontId="0" fillId="0" borderId="6" xfId="0" applyBorder="1" applyAlignment="1"/>
    <xf numFmtId="0" fontId="4" fillId="5" borderId="7" xfId="0" applyFont="1" applyFill="1" applyBorder="1" applyAlignment="1"/>
    <xf numFmtId="0" fontId="0" fillId="0" borderId="9" xfId="0" applyBorder="1" applyAlignment="1"/>
    <xf numFmtId="0" fontId="4" fillId="5" borderId="4" xfId="0" applyFont="1" applyFill="1" applyBorder="1" applyAlignment="1"/>
    <xf numFmtId="0" fontId="0" fillId="5" borderId="3" xfId="0" applyFill="1" applyBorder="1" applyAlignment="1"/>
    <xf numFmtId="0" fontId="4" fillId="5" borderId="3" xfId="0" applyFont="1" applyFill="1" applyBorder="1" applyAlignment="1"/>
    <xf numFmtId="0" fontId="4" fillId="5" borderId="8" xfId="0" applyFont="1" applyFill="1" applyBorder="1" applyAlignment="1"/>
    <xf numFmtId="0" fontId="4" fillId="7" borderId="8" xfId="0" applyFont="1" applyFill="1" applyBorder="1" applyAlignment="1"/>
    <xf numFmtId="0" fontId="0" fillId="0" borderId="8" xfId="0" applyBorder="1" applyAlignment="1"/>
    <xf numFmtId="0" fontId="20" fillId="12" borderId="15" xfId="0" applyFont="1" applyFill="1" applyBorder="1" applyAlignment="1">
      <alignment horizontal="center" vertical="center"/>
    </xf>
    <xf numFmtId="0" fontId="20" fillId="12" borderId="14" xfId="0" applyFont="1" applyFill="1" applyBorder="1" applyAlignment="1">
      <alignment horizontal="center" vertical="center"/>
    </xf>
    <xf numFmtId="0" fontId="4" fillId="0" borderId="15" xfId="0" quotePrefix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/>
    <xf numFmtId="0" fontId="19" fillId="12" borderId="15" xfId="0" applyFont="1" applyFill="1" applyBorder="1" applyAlignment="1">
      <alignment horizontal="center" vertical="center"/>
    </xf>
    <xf numFmtId="0" fontId="19" fillId="12" borderId="13" xfId="0" applyFont="1" applyFill="1" applyBorder="1" applyAlignment="1">
      <alignment horizontal="center" vertical="center"/>
    </xf>
    <xf numFmtId="0" fontId="19" fillId="12" borderId="14" xfId="0" applyFont="1" applyFill="1" applyBorder="1" applyAlignment="1">
      <alignment horizontal="center" vertical="center"/>
    </xf>
    <xf numFmtId="0" fontId="15" fillId="8" borderId="15" xfId="0" applyFont="1" applyFill="1" applyBorder="1" applyAlignment="1" applyProtection="1">
      <alignment horizontal="center" vertical="center"/>
      <protection locked="0"/>
    </xf>
    <xf numFmtId="0" fontId="15" fillId="8" borderId="13" xfId="0" applyFont="1" applyFill="1" applyBorder="1" applyAlignment="1" applyProtection="1">
      <alignment horizontal="center" vertical="center"/>
      <protection locked="0"/>
    </xf>
    <xf numFmtId="0" fontId="15" fillId="8" borderId="14" xfId="0" applyFont="1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>
      <alignment horizontal="left"/>
    </xf>
    <xf numFmtId="0" fontId="16" fillId="8" borderId="15" xfId="0" applyFont="1" applyFill="1" applyBorder="1" applyAlignment="1">
      <alignment horizontal="center" vertical="center"/>
    </xf>
    <xf numFmtId="0" fontId="16" fillId="8" borderId="14" xfId="0" applyFont="1" applyFill="1" applyBorder="1" applyAlignment="1">
      <alignment horizontal="center" vertical="center"/>
    </xf>
    <xf numFmtId="0" fontId="0" fillId="0" borderId="3" xfId="0" applyBorder="1" applyAlignment="1"/>
    <xf numFmtId="0" fontId="0" fillId="0" borderId="0" xfId="0" applyAlignment="1">
      <alignment horizontal="center"/>
    </xf>
    <xf numFmtId="0" fontId="0" fillId="7" borderId="7" xfId="0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20" fillId="12" borderId="13" xfId="0" applyFont="1" applyFill="1" applyBorder="1" applyAlignment="1">
      <alignment horizontal="center" vertical="center"/>
    </xf>
    <xf numFmtId="0" fontId="7" fillId="8" borderId="15" xfId="0" applyFont="1" applyFill="1" applyBorder="1" applyAlignment="1" applyProtection="1">
      <alignment horizontal="center" vertical="center"/>
      <protection locked="0"/>
    </xf>
    <xf numFmtId="0" fontId="7" fillId="8" borderId="13" xfId="0" applyFont="1" applyFill="1" applyBorder="1" applyAlignment="1" applyProtection="1">
      <alignment horizontal="center" vertical="center"/>
      <protection locked="0"/>
    </xf>
    <xf numFmtId="0" fontId="7" fillId="8" borderId="14" xfId="0" applyFont="1" applyFill="1" applyBorder="1" applyAlignment="1" applyProtection="1">
      <alignment horizontal="center" vertical="center"/>
      <protection locked="0"/>
    </xf>
    <xf numFmtId="0" fontId="4" fillId="5" borderId="15" xfId="0" applyFont="1" applyFill="1" applyBorder="1" applyAlignment="1"/>
    <xf numFmtId="0" fontId="0" fillId="0" borderId="14" xfId="0" applyBorder="1" applyAlignment="1"/>
    <xf numFmtId="0" fontId="8" fillId="8" borderId="15" xfId="0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 vertical="center"/>
    </xf>
    <xf numFmtId="0" fontId="0" fillId="5" borderId="2" xfId="0" applyFill="1" applyBorder="1" applyAlignment="1"/>
    <xf numFmtId="0" fontId="0" fillId="5" borderId="14" xfId="0" applyFill="1" applyBorder="1" applyAlignment="1"/>
    <xf numFmtId="0" fontId="4" fillId="5" borderId="6" xfId="0" applyFont="1" applyFill="1" applyBorder="1" applyAlignment="1"/>
    <xf numFmtId="0" fontId="4" fillId="5" borderId="9" xfId="0" applyFont="1" applyFill="1" applyBorder="1" applyAlignment="1"/>
    <xf numFmtId="0" fontId="0" fillId="11" borderId="23" xfId="0" applyFont="1" applyFill="1" applyBorder="1" applyAlignment="1"/>
    <xf numFmtId="0" fontId="0" fillId="11" borderId="0" xfId="0" applyFont="1" applyFill="1" applyBorder="1" applyAlignment="1">
      <alignment horizontal="left" vertical="center"/>
    </xf>
    <xf numFmtId="0" fontId="0" fillId="11" borderId="24" xfId="0" applyFont="1" applyFill="1" applyBorder="1" applyAlignment="1"/>
    <xf numFmtId="0" fontId="0" fillId="11" borderId="16" xfId="0" applyFont="1" applyFill="1" applyBorder="1" applyAlignment="1">
      <alignment horizontal="left" vertical="center"/>
    </xf>
    <xf numFmtId="0" fontId="0" fillId="11" borderId="25" xfId="0" applyFont="1" applyFill="1" applyBorder="1" applyAlignment="1"/>
    <xf numFmtId="0" fontId="0" fillId="11" borderId="26" xfId="0" applyFont="1" applyFill="1" applyBorder="1" applyAlignment="1">
      <alignment horizontal="left" vertical="center"/>
    </xf>
    <xf numFmtId="0" fontId="0" fillId="11" borderId="27" xfId="0" applyFont="1" applyFill="1" applyBorder="1" applyAlignment="1">
      <alignment horizontal="left" vertical="center"/>
    </xf>
    <xf numFmtId="0" fontId="0" fillId="11" borderId="26" xfId="0" applyFont="1" applyFill="1" applyBorder="1" applyAlignment="1"/>
    <xf numFmtId="0" fontId="0" fillId="11" borderId="28" xfId="0" applyFont="1" applyFill="1" applyBorder="1" applyAlignment="1">
      <alignment horizontal="left" vertical="center"/>
    </xf>
    <xf numFmtId="0" fontId="0" fillId="11" borderId="28" xfId="0" applyFont="1" applyFill="1" applyBorder="1" applyAlignment="1"/>
    <xf numFmtId="0" fontId="0" fillId="11" borderId="27" xfId="0" applyFont="1" applyFill="1" applyBorder="1" applyAlignment="1"/>
    <xf numFmtId="0" fontId="0" fillId="11" borderId="16" xfId="0" applyFill="1" applyBorder="1" applyAlignment="1"/>
    <xf numFmtId="0" fontId="0" fillId="11" borderId="16" xfId="0" applyFont="1" applyFill="1" applyBorder="1" applyAlignment="1"/>
    <xf numFmtId="0" fontId="0" fillId="11" borderId="0" xfId="0" applyFont="1" applyFill="1" applyBorder="1" applyAlignment="1"/>
    <xf numFmtId="0" fontId="0" fillId="11" borderId="19" xfId="0" applyFont="1" applyFill="1" applyBorder="1" applyAlignment="1"/>
    <xf numFmtId="0" fontId="0" fillId="0" borderId="29" xfId="0" applyFont="1" applyFill="1" applyBorder="1" applyAlignment="1" applyProtection="1">
      <alignment horizontal="center" vertical="center"/>
      <protection locked="0"/>
    </xf>
    <xf numFmtId="0" fontId="7" fillId="13" borderId="29" xfId="0" applyFont="1" applyFill="1" applyBorder="1" applyAlignment="1" applyProtection="1">
      <alignment horizontal="center" vertical="center"/>
      <protection locked="0"/>
    </xf>
    <xf numFmtId="0" fontId="8" fillId="13" borderId="29" xfId="0" applyFont="1" applyFill="1" applyBorder="1" applyAlignment="1">
      <alignment horizontal="center" vertical="center"/>
    </xf>
    <xf numFmtId="0" fontId="27" fillId="9" borderId="0" xfId="0" applyFont="1" applyFill="1" applyBorder="1" applyAlignment="1">
      <alignment horizontal="center" vertical="center"/>
    </xf>
    <xf numFmtId="0" fontId="0" fillId="10" borderId="16" xfId="0" applyFont="1" applyFill="1" applyBorder="1" applyAlignment="1">
      <alignment horizontal="center"/>
    </xf>
    <xf numFmtId="0" fontId="0" fillId="10" borderId="16" xfId="0" applyFont="1" applyFill="1" applyBorder="1" applyAlignment="1"/>
    <xf numFmtId="0" fontId="20" fillId="14" borderId="29" xfId="0" applyFont="1" applyFill="1" applyBorder="1" applyAlignment="1">
      <alignment horizontal="center" vertical="center"/>
    </xf>
    <xf numFmtId="0" fontId="0" fillId="11" borderId="29" xfId="0" applyFont="1" applyFill="1" applyBorder="1" applyAlignment="1"/>
    <xf numFmtId="0" fontId="0" fillId="11" borderId="21" xfId="0" applyFont="1" applyFill="1" applyBorder="1" applyAlignment="1"/>
    <xf numFmtId="0" fontId="46" fillId="4" borderId="0" xfId="0" applyFont="1" applyFill="1" applyBorder="1" applyAlignment="1" applyProtection="1">
      <alignment horizontal="center" vertical="center"/>
    </xf>
    <xf numFmtId="0" fontId="4" fillId="27" borderId="6" xfId="0" applyFont="1" applyFill="1" applyBorder="1" applyAlignment="1" applyProtection="1">
      <alignment horizontal="center" vertical="center" wrapText="1"/>
    </xf>
  </cellXfs>
  <cellStyles count="3">
    <cellStyle name="Hyperlink" xfId="1" builtinId="8"/>
    <cellStyle name="Normal" xfId="0" builtinId="0"/>
    <cellStyle name="Style 1" xfId="2"/>
  </cellStyles>
  <dxfs count="1">
    <dxf>
      <border>
        <top/>
      </border>
    </dxf>
  </dxfs>
  <tableStyles count="1" defaultTableStyle="TableStyleMedium9" defaultPivotStyle="PivotStyleLight16">
    <tableStyle name="Table Style 1" pivot="0" count="1">
      <tableStyleElement type="wholeTable" dxfId="0"/>
    </tableStyle>
  </tableStyles>
  <colors>
    <mruColors>
      <color rgb="FFBADFFE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Papi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romenade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fieldofglory.com/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://www.fieldofglory.fr/spip.php?article2" TargetMode="External"/><Relationship Id="rId1" Type="http://schemas.openxmlformats.org/officeDocument/2006/relationships/hyperlink" Target="http://www.fieldofglory.fr/spip.php?article2" TargetMode="External"/><Relationship Id="rId6" Type="http://schemas.openxmlformats.org/officeDocument/2006/relationships/hyperlink" Target="http://www.fieldofglory.com/" TargetMode="External"/><Relationship Id="rId5" Type="http://schemas.openxmlformats.org/officeDocument/2006/relationships/hyperlink" Target="http://www.fieldofglory.fr/spip.php?article2" TargetMode="External"/><Relationship Id="rId4" Type="http://schemas.openxmlformats.org/officeDocument/2006/relationships/hyperlink" Target="http://www.fieldofglory.com/" TargetMode="External"/><Relationship Id="rId9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6"/>
    <pageSetUpPr fitToPage="1"/>
  </sheetPr>
  <dimension ref="A1:IS91"/>
  <sheetViews>
    <sheetView showGridLines="0" showRowColHeaders="0" tabSelected="1" topLeftCell="A2" zoomScale="104" zoomScaleNormal="104" workbookViewId="0">
      <selection activeCell="F16" sqref="F16:F17"/>
    </sheetView>
  </sheetViews>
  <sheetFormatPr defaultColWidth="0" defaultRowHeight="0" customHeight="1" zeroHeight="1"/>
  <cols>
    <col min="1" max="1" width="2.5703125" style="126" customWidth="1"/>
    <col min="2" max="2" width="1.42578125" style="127" customWidth="1"/>
    <col min="3" max="3" width="20.140625" style="127" customWidth="1"/>
    <col min="4" max="4" width="35.140625" style="127" customWidth="1"/>
    <col min="5" max="5" width="8.28515625" style="152" customWidth="1"/>
    <col min="6" max="6" width="12.42578125" style="152" customWidth="1"/>
    <col min="7" max="10" width="18.7109375" style="152" customWidth="1"/>
    <col min="11" max="11" width="23" style="152" customWidth="1"/>
    <col min="12" max="12" width="21.140625" style="152" customWidth="1"/>
    <col min="13" max="13" width="18.5703125" style="127" customWidth="1"/>
    <col min="14" max="14" width="13.28515625" style="127" customWidth="1"/>
    <col min="15" max="15" width="8.5703125" style="148" customWidth="1"/>
    <col min="16" max="16" width="18.7109375" style="127" customWidth="1"/>
    <col min="17" max="17" width="1.42578125" style="127" customWidth="1"/>
    <col min="18" max="18" width="2.5703125" style="127" hidden="1" customWidth="1"/>
    <col min="19" max="19" width="2.28515625" style="127" hidden="1" customWidth="1"/>
    <col min="20" max="20" width="9.28515625" style="127" hidden="1" customWidth="1"/>
    <col min="21" max="21" width="21.85546875" style="127" hidden="1" customWidth="1"/>
    <col min="22" max="26" width="16.28515625" style="127" hidden="1" customWidth="1"/>
    <col min="27" max="253" width="0" style="127" hidden="1" customWidth="1"/>
    <col min="254" max="16384" width="4.7109375" style="127" hidden="1"/>
  </cols>
  <sheetData>
    <row r="1" spans="1:253" s="126" customFormat="1" ht="13.5" hidden="1" customHeight="1">
      <c r="A1" s="123"/>
      <c r="B1" s="123"/>
      <c r="C1" s="124"/>
      <c r="D1" s="124"/>
      <c r="E1" s="125"/>
      <c r="F1" s="124"/>
      <c r="G1" s="124"/>
      <c r="H1" s="124"/>
      <c r="I1" s="124"/>
      <c r="J1" s="125"/>
      <c r="K1" s="124"/>
      <c r="L1" s="124"/>
      <c r="M1" s="124"/>
      <c r="N1" s="124"/>
      <c r="O1" s="125"/>
      <c r="P1" s="124"/>
      <c r="Q1" s="123"/>
      <c r="R1" s="123"/>
      <c r="S1" s="123"/>
      <c r="T1" s="123"/>
      <c r="U1" s="123"/>
    </row>
    <row r="2" spans="1:253" ht="7.5" customHeight="1">
      <c r="A2" s="123"/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123"/>
      <c r="S2" s="123"/>
      <c r="T2" s="123"/>
      <c r="U2" s="123"/>
    </row>
    <row r="3" spans="1:253" ht="5.25" customHeight="1">
      <c r="A3" s="123"/>
      <c r="B3" s="128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128"/>
      <c r="R3" s="123"/>
      <c r="S3" s="123"/>
      <c r="T3" s="123"/>
      <c r="U3" s="123"/>
    </row>
    <row r="4" spans="1:253" ht="15">
      <c r="A4" s="123"/>
      <c r="B4" s="128"/>
      <c r="C4" s="548" t="s">
        <v>1250</v>
      </c>
      <c r="D4" s="386" t="str">
        <f ca="1">VLOOKUP("Player information",Zone_Traduction,ref_langue,FALSE)</f>
        <v>Player Information</v>
      </c>
      <c r="E4" s="388"/>
      <c r="F4" s="384"/>
      <c r="G4" s="386" t="str">
        <f ca="1">VLOOKUP("Army information",Zone_Traduction,ref_langue,FALSE)</f>
        <v>Army Information</v>
      </c>
      <c r="H4" s="387"/>
      <c r="I4" s="387"/>
      <c r="J4" s="388"/>
      <c r="K4" s="384"/>
      <c r="L4" s="386" t="str">
        <f ca="1">VLOOKUP("Game information",Zone_Traduction,ref_langue,FALSE)</f>
        <v>Game Information</v>
      </c>
      <c r="M4" s="431"/>
      <c r="N4" s="431"/>
      <c r="O4" s="432"/>
      <c r="P4" s="175"/>
      <c r="Q4" s="128"/>
      <c r="R4" s="123"/>
      <c r="S4" s="123"/>
      <c r="T4" s="123"/>
      <c r="U4" s="123"/>
    </row>
    <row r="5" spans="1:253" ht="18" customHeight="1">
      <c r="A5" s="123"/>
      <c r="B5" s="128"/>
      <c r="C5" s="548"/>
      <c r="D5" s="375" t="str">
        <f ca="1">VLOOKUP("Name and Surname",Zone_Traduction,ref_langue,FALSE)</f>
        <v>Name and Surname</v>
      </c>
      <c r="E5" s="390"/>
      <c r="F5" s="385"/>
      <c r="G5" s="375" t="str">
        <f ca="1">VLOOKUP("Book Name",Zone_Traduction,ref_langue,FALSE)</f>
        <v>Book Name</v>
      </c>
      <c r="H5" s="389"/>
      <c r="I5" s="390"/>
      <c r="J5" s="129" t="str">
        <f ca="1">VLOOKUP("Page Number",Zone_Traduction,ref_langue,FALSE)</f>
        <v>Page Number</v>
      </c>
      <c r="K5" s="385"/>
      <c r="L5" s="375" t="str">
        <f ca="1">VLOOKUP("BG Deployment",Zone_Traduction,ref_langue,FALSE)</f>
        <v>BG Deployment</v>
      </c>
      <c r="M5" s="376"/>
      <c r="N5" s="376"/>
      <c r="O5" s="377"/>
      <c r="P5" s="175"/>
      <c r="Q5" s="128"/>
      <c r="R5" s="130"/>
      <c r="S5" s="131"/>
      <c r="T5" s="131"/>
      <c r="U5" s="131"/>
      <c r="IO5" s="3"/>
      <c r="IP5" s="3"/>
      <c r="IQ5" s="3"/>
      <c r="IR5" s="3"/>
      <c r="IS5" s="3"/>
    </row>
    <row r="6" spans="1:253" ht="15.75" customHeight="1">
      <c r="A6" s="132"/>
      <c r="B6" s="128"/>
      <c r="C6" s="548"/>
      <c r="D6" s="437"/>
      <c r="E6" s="438"/>
      <c r="F6" s="385"/>
      <c r="G6" s="391"/>
      <c r="H6" s="392"/>
      <c r="I6" s="393"/>
      <c r="J6" s="47"/>
      <c r="K6" s="385"/>
      <c r="L6" s="430" t="str">
        <f ca="1">VLOOKUP(Données!BM7,ordre_de_marche,2)</f>
        <v>0-0-0-0</v>
      </c>
      <c r="M6" s="382"/>
      <c r="N6" s="382"/>
      <c r="O6" s="383"/>
      <c r="P6" s="175"/>
      <c r="Q6" s="128"/>
      <c r="R6" s="18"/>
      <c r="S6" s="133"/>
      <c r="T6" s="131"/>
      <c r="U6" s="131"/>
      <c r="IO6" s="3"/>
      <c r="IP6" s="3"/>
      <c r="IQ6" s="3"/>
      <c r="IR6" s="3"/>
      <c r="IS6" s="3"/>
    </row>
    <row r="7" spans="1:253" ht="15.75" customHeight="1">
      <c r="A7" s="123"/>
      <c r="B7" s="128"/>
      <c r="C7" s="548"/>
      <c r="D7" s="435" t="str">
        <f ca="1">VLOOKUP("Club",Zone_Traduction,ref_langue,FALSE)</f>
        <v>Club</v>
      </c>
      <c r="E7" s="436"/>
      <c r="F7" s="385"/>
      <c r="G7" s="375" t="str">
        <f ca="1">VLOOKUP("List Name",Zone_Traduction,ref_langue,FALSE)</f>
        <v>List Name</v>
      </c>
      <c r="H7" s="389"/>
      <c r="I7" s="390"/>
      <c r="J7" s="129" t="str">
        <f ca="1">VLOOKUP("Army date",Zone_Traduction,ref_langue,FALSE)</f>
        <v>Army Date</v>
      </c>
      <c r="K7" s="385"/>
      <c r="L7" s="375" t="str">
        <f ca="1">VLOOKUP("Pre Battle Initiative Modifier",Zone_Traduction,ref_langue,FALSE)</f>
        <v>Pre Battle Initiative Modifier</v>
      </c>
      <c r="M7" s="376"/>
      <c r="N7" s="376"/>
      <c r="O7" s="377"/>
      <c r="P7" s="175"/>
      <c r="Q7" s="128"/>
      <c r="R7" s="134"/>
      <c r="S7" s="133"/>
      <c r="T7" s="131"/>
      <c r="U7" s="131"/>
      <c r="IO7" s="3"/>
      <c r="IP7" s="3"/>
      <c r="IQ7" s="3"/>
      <c r="IR7" s="3"/>
      <c r="IS7" s="3"/>
    </row>
    <row r="8" spans="1:253" ht="15.75" customHeight="1">
      <c r="A8" s="132"/>
      <c r="B8" s="128"/>
      <c r="C8" s="548"/>
      <c r="D8" s="437"/>
      <c r="E8" s="438"/>
      <c r="F8" s="385"/>
      <c r="G8" s="401"/>
      <c r="H8" s="402"/>
      <c r="I8" s="403"/>
      <c r="J8" s="153"/>
      <c r="K8" s="385"/>
      <c r="L8" s="381">
        <f>Données!$BM$6</f>
        <v>0</v>
      </c>
      <c r="M8" s="382"/>
      <c r="N8" s="382"/>
      <c r="O8" s="383"/>
      <c r="P8" s="175"/>
      <c r="Q8" s="128"/>
      <c r="R8" s="134"/>
      <c r="S8" s="133"/>
      <c r="T8" s="131"/>
      <c r="U8" s="131"/>
      <c r="IO8" s="3"/>
      <c r="IP8" s="3"/>
      <c r="IQ8" s="3"/>
      <c r="IR8" s="3"/>
      <c r="IS8" s="3"/>
    </row>
    <row r="9" spans="1:253" ht="15.75" customHeight="1">
      <c r="A9" s="123"/>
      <c r="B9" s="128"/>
      <c r="C9" s="548"/>
      <c r="D9" s="375" t="str">
        <f ca="1">VLOOKUP("e-mail",Zone_Traduction,ref_langue,FALSE)</f>
        <v>E-Mail</v>
      </c>
      <c r="E9" s="390"/>
      <c r="F9" s="385"/>
      <c r="G9" s="394" t="str">
        <f ca="1">VLOOKUP("Territory Types",Zone_Traduction,ref_langue,FALSE)</f>
        <v>Territory Types</v>
      </c>
      <c r="H9" s="395"/>
      <c r="I9" s="395"/>
      <c r="J9" s="396"/>
      <c r="K9" s="385"/>
      <c r="L9" s="176" t="s">
        <v>1234</v>
      </c>
      <c r="M9" s="176" t="s">
        <v>1236</v>
      </c>
      <c r="N9" s="397" t="s">
        <v>1237</v>
      </c>
      <c r="O9" s="398"/>
      <c r="P9" s="175"/>
      <c r="Q9" s="128"/>
      <c r="R9" s="18"/>
      <c r="S9" s="131"/>
      <c r="T9" s="131"/>
      <c r="U9" s="131"/>
      <c r="IO9" s="3"/>
      <c r="IP9" s="3"/>
      <c r="IQ9" s="3"/>
      <c r="IR9" s="3"/>
      <c r="IS9" s="3"/>
    </row>
    <row r="10" spans="1:253" ht="15.75" customHeight="1">
      <c r="A10" s="132"/>
      <c r="B10" s="128"/>
      <c r="C10" s="548"/>
      <c r="D10" s="439"/>
      <c r="E10" s="440"/>
      <c r="F10" s="385"/>
      <c r="G10" s="46" t="s">
        <v>47</v>
      </c>
      <c r="H10" s="46" t="s">
        <v>47</v>
      </c>
      <c r="I10" s="46" t="s">
        <v>47</v>
      </c>
      <c r="J10" s="46" t="s">
        <v>47</v>
      </c>
      <c r="K10" s="385"/>
      <c r="L10" s="166">
        <f ca="1">Données!BM7</f>
        <v>0</v>
      </c>
      <c r="M10" s="165">
        <f ca="1">Données!BL7</f>
        <v>0</v>
      </c>
      <c r="N10" s="399">
        <f ca="1">IFERROR(CEILING(M10/2,0.5),0)</f>
        <v>0</v>
      </c>
      <c r="O10" s="400"/>
      <c r="P10" s="175"/>
      <c r="Q10" s="128"/>
      <c r="R10" s="18"/>
      <c r="S10" s="131"/>
      <c r="T10" s="131"/>
      <c r="U10" s="131"/>
      <c r="V10" s="127">
        <f ca="1">SUM($N$23:$N$61)+SUM(N16:N19)+(3*F18)+W10</f>
        <v>0</v>
      </c>
      <c r="W10" s="135">
        <f>G16</f>
        <v>0</v>
      </c>
      <c r="IO10" s="3"/>
      <c r="IP10" s="3"/>
      <c r="IQ10" s="3"/>
      <c r="IR10" s="3"/>
      <c r="IS10" s="3"/>
    </row>
    <row r="11" spans="1:253" ht="18.75" customHeight="1">
      <c r="A11" s="123"/>
      <c r="B11" s="128"/>
      <c r="C11" s="548"/>
      <c r="D11" s="375" t="str">
        <f ca="1">VLOOKUP("Tel number",Zone_Traduction,ref_langue,FALSE)</f>
        <v>Tel Number</v>
      </c>
      <c r="E11" s="390"/>
      <c r="F11" s="385"/>
      <c r="G11" s="394" t="str">
        <f ca="1">VLOOKUP("Allies",Zone_Traduction,ref_langue,FALSE)</f>
        <v>Allies</v>
      </c>
      <c r="H11" s="395"/>
      <c r="I11" s="395"/>
      <c r="J11" s="396"/>
      <c r="K11" s="385"/>
      <c r="L11" s="375" t="str">
        <f ca="1">VLOOKUP("Language Option",Zone_Traduction,ref_langue,FALSE)</f>
        <v>Language Option</v>
      </c>
      <c r="M11" s="376"/>
      <c r="N11" s="376"/>
      <c r="O11" s="377"/>
      <c r="P11" s="175"/>
      <c r="Q11" s="128"/>
      <c r="R11" s="18"/>
      <c r="S11" s="131"/>
      <c r="T11" s="131"/>
      <c r="U11" s="131"/>
      <c r="IO11" s="3"/>
      <c r="IP11" s="3"/>
      <c r="IQ11" s="3"/>
      <c r="IR11" s="3"/>
      <c r="IS11" s="3"/>
    </row>
    <row r="12" spans="1:253" ht="15.75" customHeight="1">
      <c r="A12" s="136"/>
      <c r="B12" s="128"/>
      <c r="C12" s="548"/>
      <c r="D12" s="433"/>
      <c r="E12" s="434"/>
      <c r="F12" s="385"/>
      <c r="G12" s="196"/>
      <c r="H12" s="197"/>
      <c r="I12" s="197"/>
      <c r="J12" s="198"/>
      <c r="K12" s="385"/>
      <c r="L12" s="378" t="s">
        <v>266</v>
      </c>
      <c r="M12" s="379"/>
      <c r="N12" s="379"/>
      <c r="O12" s="380"/>
      <c r="P12" s="175"/>
      <c r="Q12" s="128"/>
      <c r="R12" s="18"/>
      <c r="S12" s="131"/>
      <c r="T12" s="131"/>
      <c r="U12" s="131"/>
      <c r="IO12" s="3"/>
      <c r="IP12" s="3"/>
      <c r="IQ12" s="3"/>
      <c r="IR12" s="3"/>
      <c r="IS12" s="3"/>
    </row>
    <row r="13" spans="1:253" ht="5.25" customHeight="1" thickBot="1">
      <c r="A13" s="136"/>
      <c r="B13" s="128"/>
      <c r="C13" s="167"/>
      <c r="D13" s="167"/>
      <c r="E13" s="168"/>
      <c r="F13" s="169"/>
      <c r="G13" s="169"/>
      <c r="H13" s="169"/>
      <c r="I13" s="168"/>
      <c r="J13" s="170"/>
      <c r="K13" s="171"/>
      <c r="L13" s="171"/>
      <c r="M13" s="172"/>
      <c r="N13" s="173"/>
      <c r="O13" s="170"/>
      <c r="P13" s="174"/>
      <c r="Q13" s="128"/>
      <c r="R13" s="18"/>
      <c r="S13" s="131"/>
      <c r="T13" s="131"/>
      <c r="U13" s="131"/>
      <c r="IO13" s="3"/>
      <c r="IP13" s="3"/>
      <c r="IQ13" s="3"/>
      <c r="IR13" s="3"/>
      <c r="IS13" s="3"/>
    </row>
    <row r="14" spans="1:253" ht="15.75" customHeight="1" thickBot="1">
      <c r="A14" s="123"/>
      <c r="B14" s="128"/>
      <c r="C14" s="405" t="str">
        <f ca="1">VLOOKUP("Total Field Fortifications",Zone_Traduction,ref_langue,FALSE)</f>
        <v>Total Field Fortifications</v>
      </c>
      <c r="D14" s="424"/>
      <c r="E14" s="424"/>
      <c r="F14" s="424"/>
      <c r="G14" s="406"/>
      <c r="H14" s="416" t="str">
        <f ca="1">VLOOKUP("Commander Type",Zone_Traduction,ref_langue,FALSE)</f>
        <v>Commander Type</v>
      </c>
      <c r="I14" s="425"/>
      <c r="J14" s="425"/>
      <c r="K14" s="425"/>
      <c r="L14" s="425"/>
      <c r="M14" s="425"/>
      <c r="N14" s="426"/>
      <c r="O14" s="416" t="s">
        <v>26</v>
      </c>
      <c r="P14" s="417"/>
      <c r="Q14" s="128"/>
      <c r="R14" s="131"/>
      <c r="S14" s="137"/>
      <c r="T14" s="137"/>
      <c r="U14" s="138"/>
      <c r="V14" s="123"/>
      <c r="W14" s="123"/>
      <c r="X14" s="123"/>
      <c r="Y14" s="123"/>
      <c r="IO14" s="3"/>
      <c r="IP14" s="3"/>
      <c r="IQ14" s="3"/>
      <c r="IR14" s="3"/>
      <c r="IS14" s="3"/>
    </row>
    <row r="15" spans="1:253" s="142" customFormat="1" ht="15.75" customHeight="1" thickBot="1">
      <c r="A15" s="139"/>
      <c r="B15" s="128"/>
      <c r="C15" s="411" t="str">
        <f ca="1">VLOOKUP("Type",Zone_Traduction,ref_langue,FALSE)</f>
        <v>Type</v>
      </c>
      <c r="D15" s="412"/>
      <c r="E15" s="427"/>
      <c r="F15" s="177" t="str">
        <f ca="1">VLOOKUP("quantity",Zone_Traduction,ref_langue,FALSE)</f>
        <v>Quantity</v>
      </c>
      <c r="G15" s="177" t="str">
        <f ca="1">VLOOKUP("Cost",Zone_Traduction,ref_langue,FALSE)</f>
        <v>Cost</v>
      </c>
      <c r="H15" s="411" t="str">
        <f ca="1">VLOOKUP("Commander Name",Zone_Traduction,ref_langue,FALSE)</f>
        <v>Commander Name</v>
      </c>
      <c r="I15" s="412"/>
      <c r="J15" s="410" t="str">
        <f ca="1">VLOOKUP("Commander Type",Zone_Traduction,ref_langue,FALSE)</f>
        <v>Commander Type</v>
      </c>
      <c r="K15" s="410"/>
      <c r="L15" s="140" t="str">
        <f ca="1">VLOOKUP("Appointment",Zone_Traduction,ref_langue,FALSE)</f>
        <v>Appointment</v>
      </c>
      <c r="M15" s="141" t="str">
        <f ca="1">VLOOKUP("Number",Zone_Traduction,ref_langue,FALSE)</f>
        <v>Number</v>
      </c>
      <c r="N15" s="141" t="str">
        <f ca="1">VLOOKUP("Cost",Zone_Traduction,ref_langue,FALSE)</f>
        <v>Cost</v>
      </c>
      <c r="O15" s="418"/>
      <c r="P15" s="419"/>
      <c r="Q15" s="128"/>
    </row>
    <row r="16" spans="1:253" s="142" customFormat="1" ht="15.75" customHeight="1">
      <c r="A16" s="139"/>
      <c r="B16" s="128"/>
      <c r="C16" s="350" t="str">
        <f ca="1">VLOOKUP("Fortified Camp",Zone_Traduction,ref_langue,FALSE)</f>
        <v>Fortified Camp</v>
      </c>
      <c r="D16" s="351"/>
      <c r="E16" s="352"/>
      <c r="F16" s="359">
        <v>0</v>
      </c>
      <c r="G16" s="363">
        <f>F16*24</f>
        <v>0</v>
      </c>
      <c r="H16" s="367" t="s">
        <v>30</v>
      </c>
      <c r="I16" s="368"/>
      <c r="J16" s="374" t="s">
        <v>30</v>
      </c>
      <c r="K16" s="374"/>
      <c r="L16" s="143" t="s">
        <v>82</v>
      </c>
      <c r="M16" s="143">
        <v>1</v>
      </c>
      <c r="N16" s="144">
        <f>M16*V16</f>
        <v>0</v>
      </c>
      <c r="O16" s="420">
        <f ca="1">V10</f>
        <v>0</v>
      </c>
      <c r="P16" s="421"/>
      <c r="Q16" s="128"/>
      <c r="U16" s="127">
        <f>IFERROR(VLOOKUP(J16,CmdCost,2,FALSE),0)</f>
        <v>0</v>
      </c>
      <c r="V16" s="142">
        <f>IF(L16="Ally",U16 -10,U16)</f>
        <v>0</v>
      </c>
    </row>
    <row r="17" spans="1:253" s="142" customFormat="1" ht="15.75" customHeight="1">
      <c r="A17" s="139"/>
      <c r="B17" s="128"/>
      <c r="C17" s="353"/>
      <c r="D17" s="354"/>
      <c r="E17" s="355"/>
      <c r="F17" s="360"/>
      <c r="G17" s="364"/>
      <c r="H17" s="370" t="s">
        <v>30</v>
      </c>
      <c r="I17" s="371"/>
      <c r="J17" s="374" t="s">
        <v>30</v>
      </c>
      <c r="K17" s="374"/>
      <c r="L17" s="154" t="s">
        <v>30</v>
      </c>
      <c r="M17" s="349">
        <v>1</v>
      </c>
      <c r="N17" s="348">
        <f>M17*V17</f>
        <v>0</v>
      </c>
      <c r="O17" s="420"/>
      <c r="P17" s="421"/>
      <c r="Q17" s="128"/>
      <c r="U17" s="127">
        <f>IFERROR(VLOOKUP(J17,CmdCost,2,FALSE),0)</f>
        <v>0</v>
      </c>
      <c r="V17" s="142">
        <f>IF(L17="Ally",U17 -10,U17)</f>
        <v>0</v>
      </c>
    </row>
    <row r="18" spans="1:253" s="142" customFormat="1" ht="15.75" customHeight="1">
      <c r="A18" s="139"/>
      <c r="B18" s="128"/>
      <c r="C18" s="353" t="str">
        <f ca="1">VLOOKUP("Total Field Fortifications",Zone_Traduction,ref_langue,FALSE)</f>
        <v>Total Field Fortifications</v>
      </c>
      <c r="D18" s="354"/>
      <c r="E18" s="355"/>
      <c r="F18" s="361">
        <v>0</v>
      </c>
      <c r="G18" s="365">
        <f>F18*3</f>
        <v>0</v>
      </c>
      <c r="H18" s="370" t="s">
        <v>30</v>
      </c>
      <c r="I18" s="371"/>
      <c r="J18" s="374" t="s">
        <v>30</v>
      </c>
      <c r="K18" s="374"/>
      <c r="L18" s="154" t="s">
        <v>30</v>
      </c>
      <c r="M18" s="154">
        <v>0</v>
      </c>
      <c r="N18" s="145">
        <f>M18*V18</f>
        <v>0</v>
      </c>
      <c r="O18" s="420"/>
      <c r="P18" s="421"/>
      <c r="Q18" s="128"/>
      <c r="U18" s="127">
        <f>IFERROR(VLOOKUP(J18,CmdCost,2,FALSE),0)</f>
        <v>0</v>
      </c>
      <c r="V18" s="142">
        <f>IF(L18="Ally",U18 -10,U18)</f>
        <v>0</v>
      </c>
    </row>
    <row r="19" spans="1:253" s="142" customFormat="1" ht="15.75" customHeight="1" thickBot="1">
      <c r="A19" s="139"/>
      <c r="B19" s="128"/>
      <c r="C19" s="356"/>
      <c r="D19" s="357"/>
      <c r="E19" s="358"/>
      <c r="F19" s="362"/>
      <c r="G19" s="366"/>
      <c r="H19" s="372"/>
      <c r="I19" s="373"/>
      <c r="J19" s="369" t="s">
        <v>30</v>
      </c>
      <c r="K19" s="369"/>
      <c r="L19" s="155" t="s">
        <v>30</v>
      </c>
      <c r="M19" s="155">
        <v>0</v>
      </c>
      <c r="N19" s="146">
        <f>M19*V19</f>
        <v>0</v>
      </c>
      <c r="O19" s="422"/>
      <c r="P19" s="423"/>
      <c r="Q19" s="128"/>
      <c r="U19" s="127">
        <f>IFERROR(VLOOKUP(J19,CmdCost,2,FALSE),0)</f>
        <v>0</v>
      </c>
      <c r="V19" s="142">
        <f>IF(L19="Ally",U19 -10,U19)</f>
        <v>0</v>
      </c>
    </row>
    <row r="20" spans="1:253" s="142" customFormat="1" ht="15.75" customHeight="1" thickBot="1">
      <c r="A20" s="147"/>
      <c r="B20" s="128"/>
      <c r="C20" s="413" t="str">
        <f ca="1">VLOOKUP("Troops",Zone_Traduction,ref_langue,FALSE)</f>
        <v>Troops</v>
      </c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5"/>
      <c r="Q20" s="128"/>
      <c r="U20" s="127"/>
    </row>
    <row r="21" spans="1:253" ht="15.75" customHeight="1" thickBot="1">
      <c r="A21" s="48"/>
      <c r="B21" s="128"/>
      <c r="C21" s="178"/>
      <c r="D21" s="179"/>
      <c r="E21" s="407" t="str">
        <f ca="1">VLOOKUP("Characteristics",Zone_Traduction,ref_langue,FALSE)</f>
        <v>Characteristics</v>
      </c>
      <c r="F21" s="408"/>
      <c r="G21" s="408"/>
      <c r="H21" s="409"/>
      <c r="I21" s="407" t="str">
        <f ca="1">VLOOKUP("Capabilities",Zone_Traduction,ref_langue,FALSE)</f>
        <v>Capabilities</v>
      </c>
      <c r="J21" s="408"/>
      <c r="K21" s="409"/>
      <c r="L21" s="194"/>
      <c r="M21" s="405" t="str">
        <f ca="1">VLOOKUP("Cost",Zone_Traduction,ref_langue,FALSE)</f>
        <v>Cost</v>
      </c>
      <c r="N21" s="406"/>
      <c r="O21" s="405" t="str">
        <f ca="1">VLOOKUP("Deterioration",Zone_Traduction,ref_langue,FALSE)</f>
        <v>Deterioration</v>
      </c>
      <c r="P21" s="406"/>
      <c r="Q21" s="128"/>
      <c r="R21" s="131"/>
      <c r="S21" s="404"/>
      <c r="T21" s="404"/>
      <c r="V21" s="123"/>
      <c r="W21" s="123"/>
      <c r="X21" s="123"/>
      <c r="Y21" s="123"/>
      <c r="IO21" s="3"/>
      <c r="IP21" s="3"/>
      <c r="IQ21" s="3"/>
      <c r="IR21" s="3"/>
      <c r="IS21" s="3"/>
    </row>
    <row r="22" spans="1:253" s="148" customFormat="1" ht="38.25" customHeight="1" thickTop="1" thickBot="1">
      <c r="A22" s="48"/>
      <c r="B22" s="128"/>
      <c r="C22" s="164" t="s">
        <v>705</v>
      </c>
      <c r="D22" s="164" t="s">
        <v>686</v>
      </c>
      <c r="E22" s="180" t="s">
        <v>0</v>
      </c>
      <c r="F22" s="180" t="s">
        <v>56</v>
      </c>
      <c r="G22" s="180" t="s">
        <v>54</v>
      </c>
      <c r="H22" s="180" t="s">
        <v>55</v>
      </c>
      <c r="I22" s="180" t="s">
        <v>600</v>
      </c>
      <c r="J22" s="180" t="s">
        <v>597</v>
      </c>
      <c r="K22" s="180" t="s">
        <v>700</v>
      </c>
      <c r="L22" s="195" t="s">
        <v>724</v>
      </c>
      <c r="M22" s="183" t="s">
        <v>729</v>
      </c>
      <c r="N22" s="184" t="s">
        <v>709</v>
      </c>
      <c r="O22" s="184" t="s">
        <v>307</v>
      </c>
      <c r="P22" s="185" t="s">
        <v>308</v>
      </c>
      <c r="Q22" s="128"/>
      <c r="R22" s="131"/>
      <c r="S22" s="131"/>
      <c r="T22" s="131"/>
      <c r="U22" s="127"/>
    </row>
    <row r="23" spans="1:253" ht="27" customHeight="1">
      <c r="A23" s="149"/>
      <c r="B23" s="128"/>
      <c r="C23" s="158"/>
      <c r="D23" s="159"/>
      <c r="E23" s="160" t="s">
        <v>30</v>
      </c>
      <c r="F23" s="160" t="s">
        <v>30</v>
      </c>
      <c r="G23" s="160" t="s">
        <v>30</v>
      </c>
      <c r="H23" s="160" t="s">
        <v>30</v>
      </c>
      <c r="I23" s="160" t="s">
        <v>30</v>
      </c>
      <c r="J23" s="160" t="s">
        <v>30</v>
      </c>
      <c r="K23" s="160" t="s">
        <v>30</v>
      </c>
      <c r="L23" s="158"/>
      <c r="M23" s="186">
        <f t="shared" ref="M23:M61" ca="1" si="0">IFERROR(U23,0)</f>
        <v>0</v>
      </c>
      <c r="N23" s="181">
        <f t="shared" ref="N23:N61" ca="1" si="1">M23*L23</f>
        <v>0</v>
      </c>
      <c r="O23" s="182" t="str">
        <f t="shared" ref="O23:O33" si="2">IF(ISBLANK(C23),"-",IF(C23=C24,ROUNDUP((L23+L24)/4,0),IF(C23=C22,"-",ROUNDUP(L23/4,0))))</f>
        <v>-</v>
      </c>
      <c r="P23" s="187" t="str">
        <f t="shared" ref="P23:P61" ca="1" si="3">IFERROR(IF(C23=C22,"-",IF(C23=C24,VLOOKUP(G23,tableau_autobreack,MATCH((L23+L24),colonnes_autobreack,FALSE),FALSE),
VLOOKUP(G23,tableau_autobreack,MATCH(L23,colonnes_autobreack,FALSE),FALSE))),"-")</f>
        <v>-</v>
      </c>
      <c r="Q23" s="128"/>
      <c r="R23" s="131"/>
      <c r="S23" s="127">
        <f>IF(E23="SCh",1,0)</f>
        <v>0</v>
      </c>
      <c r="T23" s="127" t="str">
        <f>IF(OR($E23="HF",$E23="MF",$E23="LF"),"infanterie",
IF(OR($E23="Kn",$E23="Ct",$E23="Cv",$E23="LH",$E23="LCh",$E23="HCh",$E23="SCh",$E23="EL"),"montes",
IF(OR($E23="BWG"),"BWG",
IF(OR(E23="CAMP"),VLOOKUP("Fortified camp",Zone_Traduction,ref_langue,FALSE),
"special"))))</f>
        <v>special</v>
      </c>
      <c r="U23" s="127">
        <f ca="1">VLOOKUP($E23&amp;" "&amp;$F23,Table_budget,MATCH($G23,Colonnes_table_budget,FALSE),FALSE)
   +IF($H23=VLOOKUP("Drilled",Zone_Traduction,ref_langue,FALSE),VLOOKUP($E23&amp;" "&amp;$F23,Table_budget,MATCH(VLOOKUP("Drilled",Zone_Traduction,ref_langue,FALSE),Colonnes_table_budget,FALSE),FALSE),0)
   +IF(ISERROR(VLOOKUP(T23&amp;" "&amp;$I23,Table_armes_tir,2,FALSE)),0,VLOOKUP(T23&amp;" "&amp;$I23,Table_armes_tir,2,FALSE))
   +IF(ISERROR(VLOOKUP(T23&amp;" "&amp;$J23,Table_armes_melee,2,FALSE)),0,VLOOKUP(T23&amp;" "&amp;$J23,Table_armes_melee,2,FALSE))
   +IF(ISERROR(VLOOKUP($K23,Table_special,2,FALSE)),0,VLOOKUP($K23,Table_special,2,FALSE))</f>
        <v>0</v>
      </c>
      <c r="V23" s="127">
        <f t="shared" ref="V23:V61" ca="1" si="4">$M23*$L23</f>
        <v>0</v>
      </c>
      <c r="W23" s="126">
        <f t="shared" ref="W23:W61" si="5">IF($K23="CinC",VLOOKUP($E23,table_general,2),0)</f>
        <v>0</v>
      </c>
      <c r="X23" s="127">
        <f t="shared" ref="X23:X61" si="6">IF(OR($E23="CV",$E23="LH",$E23="LCH"),$L23,0)</f>
        <v>0</v>
      </c>
      <c r="IR23" s="126"/>
    </row>
    <row r="24" spans="1:253" ht="27" customHeight="1">
      <c r="A24" s="149"/>
      <c r="B24" s="128"/>
      <c r="C24" s="158"/>
      <c r="D24" s="159"/>
      <c r="E24" s="160" t="s">
        <v>30</v>
      </c>
      <c r="F24" s="160" t="s">
        <v>30</v>
      </c>
      <c r="G24" s="160" t="s">
        <v>30</v>
      </c>
      <c r="H24" s="160" t="s">
        <v>30</v>
      </c>
      <c r="I24" s="160" t="s">
        <v>30</v>
      </c>
      <c r="J24" s="160" t="s">
        <v>30</v>
      </c>
      <c r="K24" s="160" t="s">
        <v>30</v>
      </c>
      <c r="L24" s="158"/>
      <c r="M24" s="188">
        <f t="shared" ca="1" si="0"/>
        <v>0</v>
      </c>
      <c r="N24" s="156">
        <f t="shared" ca="1" si="1"/>
        <v>0</v>
      </c>
      <c r="O24" s="157" t="str">
        <f t="shared" si="2"/>
        <v>-</v>
      </c>
      <c r="P24" s="189" t="str">
        <f t="shared" si="3"/>
        <v>-</v>
      </c>
      <c r="Q24" s="128"/>
      <c r="R24" s="131"/>
      <c r="S24" s="127">
        <f t="shared" ref="S24:S48" si="7">IF(E24="SCh",1,0)</f>
        <v>0</v>
      </c>
      <c r="T24" s="127" t="str">
        <f>IF(OR($E24="HF",$E24="MF",$E24="LF"),"infanterie",
IF(OR($E24="Kn",$E24="Ct",$E24="Cv",$E24="LH",$E24="LCh",$E24="HCh",$E24="SCh",$E24="EL"),"montes",
IF(OR($E24="BWG"),"BWG",
"special")))</f>
        <v>special</v>
      </c>
      <c r="U24" s="127">
        <f t="shared" ref="U24:U61" ca="1" si="8">VLOOKUP($E24&amp;" "&amp;$F24,Table_budget,MATCH($G24,Colonnes_table_budget,FALSE),FALSE)
   +IF($H24=VLOOKUP("Drilled",Zone_Traduction,ref_langue,FALSE),VLOOKUP($E24&amp;" "&amp;$F24,Table_budget,MATCH(VLOOKUP("Drilled",Zone_Traduction,ref_langue,FALSE),Colonnes_table_budget,FALSE),FALSE),0)
   +IF(ISERROR(VLOOKUP(T24&amp;" "&amp;$I24,Table_armes_tir,2,FALSE)),0,VLOOKUP(T24&amp;" "&amp;$I24,Table_armes_tir,2,FALSE))
   +IF(ISERROR(VLOOKUP(T24&amp;" "&amp;$J24,Table_armes_melee,2,FALSE)),0,VLOOKUP(T24&amp;" "&amp;$J24,Table_armes_melee,2,FALSE))
   +IF(ISERROR(VLOOKUP($K24,Table_special,2,FALSE)),0,VLOOKUP($K24,Table_special,2,FALSE))</f>
        <v>0</v>
      </c>
      <c r="V24" s="127">
        <f t="shared" ca="1" si="4"/>
        <v>0</v>
      </c>
      <c r="W24" s="126">
        <f t="shared" si="5"/>
        <v>0</v>
      </c>
      <c r="X24" s="127">
        <f t="shared" si="6"/>
        <v>0</v>
      </c>
      <c r="IR24" s="126"/>
    </row>
    <row r="25" spans="1:253" ht="27" customHeight="1">
      <c r="A25" s="149"/>
      <c r="B25" s="128"/>
      <c r="C25" s="158"/>
      <c r="D25" s="159"/>
      <c r="E25" s="160" t="s">
        <v>30</v>
      </c>
      <c r="F25" s="160" t="s">
        <v>30</v>
      </c>
      <c r="G25" s="160" t="s">
        <v>30</v>
      </c>
      <c r="H25" s="160" t="s">
        <v>30</v>
      </c>
      <c r="I25" s="160" t="s">
        <v>30</v>
      </c>
      <c r="J25" s="160" t="s">
        <v>30</v>
      </c>
      <c r="K25" s="160" t="s">
        <v>30</v>
      </c>
      <c r="L25" s="158"/>
      <c r="M25" s="188">
        <f t="shared" ca="1" si="0"/>
        <v>0</v>
      </c>
      <c r="N25" s="156">
        <f t="shared" ca="1" si="1"/>
        <v>0</v>
      </c>
      <c r="O25" s="157" t="str">
        <f t="shared" si="2"/>
        <v>-</v>
      </c>
      <c r="P25" s="189" t="str">
        <f t="shared" si="3"/>
        <v>-</v>
      </c>
      <c r="Q25" s="128"/>
      <c r="S25" s="127">
        <f t="shared" si="7"/>
        <v>0</v>
      </c>
      <c r="T25" s="127" t="str">
        <f t="shared" ref="T25:T61" si="9">IF(OR($E25="HF",$E25="MF",$E25="LF"),"infanterie",
IF(OR($E25="Kn",$E25="Ct",$E25="Cv",$E25="LH",$E25="LCh",$E25="HCh",$E25="SCh",$E25="EL"),"montes",
IF(OR($E25="BWG"),"BWG",
"special")))</f>
        <v>special</v>
      </c>
      <c r="U25" s="127">
        <f t="shared" ca="1" si="8"/>
        <v>0</v>
      </c>
      <c r="V25" s="127">
        <f t="shared" ca="1" si="4"/>
        <v>0</v>
      </c>
      <c r="W25" s="126">
        <f t="shared" si="5"/>
        <v>0</v>
      </c>
      <c r="X25" s="127">
        <f t="shared" si="6"/>
        <v>0</v>
      </c>
      <c r="IR25" s="126"/>
    </row>
    <row r="26" spans="1:253" ht="27" customHeight="1">
      <c r="A26" s="149"/>
      <c r="B26" s="128"/>
      <c r="C26" s="158"/>
      <c r="D26" s="159"/>
      <c r="E26" s="160" t="s">
        <v>30</v>
      </c>
      <c r="F26" s="160" t="s">
        <v>30</v>
      </c>
      <c r="G26" s="160" t="s">
        <v>30</v>
      </c>
      <c r="H26" s="160" t="s">
        <v>30</v>
      </c>
      <c r="I26" s="160" t="s">
        <v>30</v>
      </c>
      <c r="J26" s="160" t="s">
        <v>30</v>
      </c>
      <c r="K26" s="160" t="s">
        <v>30</v>
      </c>
      <c r="L26" s="158"/>
      <c r="M26" s="188">
        <f t="shared" ca="1" si="0"/>
        <v>0</v>
      </c>
      <c r="N26" s="156">
        <f t="shared" ca="1" si="1"/>
        <v>0</v>
      </c>
      <c r="O26" s="157" t="str">
        <f t="shared" si="2"/>
        <v>-</v>
      </c>
      <c r="P26" s="189" t="str">
        <f t="shared" si="3"/>
        <v>-</v>
      </c>
      <c r="Q26" s="128"/>
      <c r="S26" s="127">
        <f t="shared" si="7"/>
        <v>0</v>
      </c>
      <c r="T26" s="127" t="str">
        <f t="shared" si="9"/>
        <v>special</v>
      </c>
      <c r="U26" s="127">
        <f t="shared" ca="1" si="8"/>
        <v>0</v>
      </c>
      <c r="V26" s="127">
        <f t="shared" ca="1" si="4"/>
        <v>0</v>
      </c>
      <c r="W26" s="126">
        <f t="shared" si="5"/>
        <v>0</v>
      </c>
      <c r="X26" s="127">
        <f t="shared" si="6"/>
        <v>0</v>
      </c>
      <c r="IR26" s="126"/>
    </row>
    <row r="27" spans="1:253" ht="27" customHeight="1">
      <c r="A27" s="149"/>
      <c r="B27" s="128"/>
      <c r="C27" s="158"/>
      <c r="D27" s="159"/>
      <c r="E27" s="160" t="s">
        <v>30</v>
      </c>
      <c r="F27" s="160" t="s">
        <v>30</v>
      </c>
      <c r="G27" s="160" t="s">
        <v>30</v>
      </c>
      <c r="H27" s="160" t="s">
        <v>30</v>
      </c>
      <c r="I27" s="160" t="s">
        <v>30</v>
      </c>
      <c r="J27" s="160" t="s">
        <v>30</v>
      </c>
      <c r="K27" s="160" t="s">
        <v>30</v>
      </c>
      <c r="L27" s="158"/>
      <c r="M27" s="188">
        <f t="shared" ca="1" si="0"/>
        <v>0</v>
      </c>
      <c r="N27" s="156">
        <f t="shared" ca="1" si="1"/>
        <v>0</v>
      </c>
      <c r="O27" s="157" t="str">
        <f t="shared" si="2"/>
        <v>-</v>
      </c>
      <c r="P27" s="189" t="str">
        <f t="shared" si="3"/>
        <v>-</v>
      </c>
      <c r="Q27" s="128"/>
      <c r="S27" s="127">
        <f t="shared" si="7"/>
        <v>0</v>
      </c>
      <c r="T27" s="127" t="str">
        <f t="shared" si="9"/>
        <v>special</v>
      </c>
      <c r="U27" s="127">
        <f t="shared" ca="1" si="8"/>
        <v>0</v>
      </c>
      <c r="V27" s="127">
        <f t="shared" ca="1" si="4"/>
        <v>0</v>
      </c>
      <c r="W27" s="126">
        <f t="shared" si="5"/>
        <v>0</v>
      </c>
      <c r="X27" s="127">
        <f t="shared" si="6"/>
        <v>0</v>
      </c>
      <c r="IR27" s="126"/>
    </row>
    <row r="28" spans="1:253" ht="27" customHeight="1">
      <c r="A28" s="149"/>
      <c r="B28" s="128"/>
      <c r="C28" s="158"/>
      <c r="D28" s="159"/>
      <c r="E28" s="160" t="s">
        <v>30</v>
      </c>
      <c r="F28" s="160" t="s">
        <v>30</v>
      </c>
      <c r="G28" s="160" t="s">
        <v>30</v>
      </c>
      <c r="H28" s="160" t="s">
        <v>30</v>
      </c>
      <c r="I28" s="160" t="s">
        <v>30</v>
      </c>
      <c r="J28" s="160" t="s">
        <v>30</v>
      </c>
      <c r="K28" s="160" t="s">
        <v>30</v>
      </c>
      <c r="L28" s="158"/>
      <c r="M28" s="188">
        <f t="shared" ca="1" si="0"/>
        <v>0</v>
      </c>
      <c r="N28" s="156">
        <f t="shared" ca="1" si="1"/>
        <v>0</v>
      </c>
      <c r="O28" s="157" t="str">
        <f t="shared" si="2"/>
        <v>-</v>
      </c>
      <c r="P28" s="189" t="str">
        <f t="shared" si="3"/>
        <v>-</v>
      </c>
      <c r="Q28" s="128"/>
      <c r="S28" s="127">
        <f t="shared" si="7"/>
        <v>0</v>
      </c>
      <c r="T28" s="127" t="str">
        <f t="shared" si="9"/>
        <v>special</v>
      </c>
      <c r="U28" s="127">
        <f t="shared" ca="1" si="8"/>
        <v>0</v>
      </c>
      <c r="V28" s="127">
        <f t="shared" ca="1" si="4"/>
        <v>0</v>
      </c>
      <c r="W28" s="126">
        <f t="shared" si="5"/>
        <v>0</v>
      </c>
      <c r="X28" s="127">
        <f t="shared" si="6"/>
        <v>0</v>
      </c>
      <c r="IR28" s="126"/>
    </row>
    <row r="29" spans="1:253" ht="27" customHeight="1">
      <c r="A29" s="149"/>
      <c r="B29" s="128"/>
      <c r="C29" s="158"/>
      <c r="D29" s="159"/>
      <c r="E29" s="160" t="s">
        <v>30</v>
      </c>
      <c r="F29" s="160" t="s">
        <v>30</v>
      </c>
      <c r="G29" s="160" t="s">
        <v>30</v>
      </c>
      <c r="H29" s="160" t="s">
        <v>30</v>
      </c>
      <c r="I29" s="160" t="s">
        <v>30</v>
      </c>
      <c r="J29" s="160" t="s">
        <v>30</v>
      </c>
      <c r="K29" s="160" t="s">
        <v>30</v>
      </c>
      <c r="L29" s="158"/>
      <c r="M29" s="188">
        <f t="shared" ca="1" si="0"/>
        <v>0</v>
      </c>
      <c r="N29" s="156">
        <f t="shared" ca="1" si="1"/>
        <v>0</v>
      </c>
      <c r="O29" s="157" t="str">
        <f t="shared" si="2"/>
        <v>-</v>
      </c>
      <c r="P29" s="189" t="str">
        <f t="shared" si="3"/>
        <v>-</v>
      </c>
      <c r="Q29" s="128"/>
      <c r="S29" s="127">
        <f t="shared" si="7"/>
        <v>0</v>
      </c>
      <c r="T29" s="127" t="str">
        <f t="shared" si="9"/>
        <v>special</v>
      </c>
      <c r="U29" s="127">
        <f t="shared" ca="1" si="8"/>
        <v>0</v>
      </c>
      <c r="V29" s="127">
        <f t="shared" ca="1" si="4"/>
        <v>0</v>
      </c>
      <c r="W29" s="126">
        <f t="shared" si="5"/>
        <v>0</v>
      </c>
      <c r="X29" s="127">
        <f t="shared" si="6"/>
        <v>0</v>
      </c>
      <c r="IR29" s="126"/>
    </row>
    <row r="30" spans="1:253" ht="27" customHeight="1">
      <c r="A30" s="149"/>
      <c r="B30" s="128"/>
      <c r="C30" s="158"/>
      <c r="D30" s="159"/>
      <c r="E30" s="160" t="s">
        <v>30</v>
      </c>
      <c r="F30" s="160" t="s">
        <v>30</v>
      </c>
      <c r="G30" s="160" t="s">
        <v>30</v>
      </c>
      <c r="H30" s="160" t="s">
        <v>30</v>
      </c>
      <c r="I30" s="160" t="s">
        <v>30</v>
      </c>
      <c r="J30" s="160" t="s">
        <v>30</v>
      </c>
      <c r="K30" s="160" t="s">
        <v>30</v>
      </c>
      <c r="L30" s="158"/>
      <c r="M30" s="188">
        <f t="shared" ca="1" si="0"/>
        <v>0</v>
      </c>
      <c r="N30" s="156">
        <f t="shared" ca="1" si="1"/>
        <v>0</v>
      </c>
      <c r="O30" s="157" t="str">
        <f t="shared" si="2"/>
        <v>-</v>
      </c>
      <c r="P30" s="189" t="str">
        <f t="shared" si="3"/>
        <v>-</v>
      </c>
      <c r="Q30" s="128"/>
      <c r="S30" s="127">
        <f t="shared" si="7"/>
        <v>0</v>
      </c>
      <c r="T30" s="127" t="str">
        <f t="shared" si="9"/>
        <v>special</v>
      </c>
      <c r="U30" s="127">
        <f t="shared" ca="1" si="8"/>
        <v>0</v>
      </c>
      <c r="V30" s="127">
        <f t="shared" ca="1" si="4"/>
        <v>0</v>
      </c>
      <c r="W30" s="126">
        <f t="shared" si="5"/>
        <v>0</v>
      </c>
      <c r="X30" s="127">
        <f t="shared" si="6"/>
        <v>0</v>
      </c>
      <c r="IR30" s="126"/>
    </row>
    <row r="31" spans="1:253" ht="27" customHeight="1">
      <c r="A31" s="149"/>
      <c r="B31" s="128"/>
      <c r="C31" s="158"/>
      <c r="D31" s="159"/>
      <c r="E31" s="160" t="s">
        <v>30</v>
      </c>
      <c r="F31" s="160" t="s">
        <v>30</v>
      </c>
      <c r="G31" s="160" t="s">
        <v>30</v>
      </c>
      <c r="H31" s="160" t="s">
        <v>30</v>
      </c>
      <c r="I31" s="160" t="s">
        <v>30</v>
      </c>
      <c r="J31" s="160" t="s">
        <v>30</v>
      </c>
      <c r="K31" s="160" t="s">
        <v>30</v>
      </c>
      <c r="L31" s="158"/>
      <c r="M31" s="188">
        <f t="shared" ca="1" si="0"/>
        <v>0</v>
      </c>
      <c r="N31" s="156">
        <f t="shared" ca="1" si="1"/>
        <v>0</v>
      </c>
      <c r="O31" s="157" t="str">
        <f t="shared" si="2"/>
        <v>-</v>
      </c>
      <c r="P31" s="189" t="str">
        <f t="shared" si="3"/>
        <v>-</v>
      </c>
      <c r="Q31" s="128"/>
      <c r="S31" s="127">
        <f t="shared" si="7"/>
        <v>0</v>
      </c>
      <c r="T31" s="127" t="str">
        <f t="shared" si="9"/>
        <v>special</v>
      </c>
      <c r="U31" s="127">
        <f t="shared" ca="1" si="8"/>
        <v>0</v>
      </c>
      <c r="V31" s="127">
        <f t="shared" ca="1" si="4"/>
        <v>0</v>
      </c>
      <c r="W31" s="126">
        <f t="shared" si="5"/>
        <v>0</v>
      </c>
      <c r="X31" s="127">
        <f t="shared" si="6"/>
        <v>0</v>
      </c>
      <c r="IR31" s="126"/>
    </row>
    <row r="32" spans="1:253" ht="27" customHeight="1">
      <c r="A32" s="149"/>
      <c r="B32" s="128"/>
      <c r="C32" s="158"/>
      <c r="D32" s="159"/>
      <c r="E32" s="160" t="s">
        <v>30</v>
      </c>
      <c r="F32" s="160" t="s">
        <v>30</v>
      </c>
      <c r="G32" s="160" t="s">
        <v>30</v>
      </c>
      <c r="H32" s="160" t="s">
        <v>30</v>
      </c>
      <c r="I32" s="160" t="s">
        <v>30</v>
      </c>
      <c r="J32" s="160" t="s">
        <v>30</v>
      </c>
      <c r="K32" s="160" t="s">
        <v>30</v>
      </c>
      <c r="L32" s="158"/>
      <c r="M32" s="188">
        <f t="shared" ca="1" si="0"/>
        <v>0</v>
      </c>
      <c r="N32" s="156">
        <f t="shared" ca="1" si="1"/>
        <v>0</v>
      </c>
      <c r="O32" s="157" t="str">
        <f t="shared" si="2"/>
        <v>-</v>
      </c>
      <c r="P32" s="189" t="str">
        <f t="shared" si="3"/>
        <v>-</v>
      </c>
      <c r="Q32" s="128"/>
      <c r="S32" s="127">
        <f t="shared" si="7"/>
        <v>0</v>
      </c>
      <c r="T32" s="127" t="str">
        <f t="shared" si="9"/>
        <v>special</v>
      </c>
      <c r="U32" s="127">
        <f t="shared" ca="1" si="8"/>
        <v>0</v>
      </c>
      <c r="V32" s="127">
        <f t="shared" ca="1" si="4"/>
        <v>0</v>
      </c>
      <c r="W32" s="126">
        <f t="shared" si="5"/>
        <v>0</v>
      </c>
      <c r="X32" s="127">
        <f t="shared" si="6"/>
        <v>0</v>
      </c>
      <c r="IR32" s="126"/>
    </row>
    <row r="33" spans="1:252" ht="27" customHeight="1">
      <c r="A33" s="149"/>
      <c r="B33" s="128"/>
      <c r="C33" s="158"/>
      <c r="D33" s="159"/>
      <c r="E33" s="160" t="s">
        <v>30</v>
      </c>
      <c r="F33" s="160" t="s">
        <v>30</v>
      </c>
      <c r="G33" s="160" t="s">
        <v>30</v>
      </c>
      <c r="H33" s="160" t="s">
        <v>30</v>
      </c>
      <c r="I33" s="160" t="s">
        <v>30</v>
      </c>
      <c r="J33" s="160" t="s">
        <v>30</v>
      </c>
      <c r="K33" s="160" t="s">
        <v>30</v>
      </c>
      <c r="L33" s="158"/>
      <c r="M33" s="188">
        <f t="shared" ca="1" si="0"/>
        <v>0</v>
      </c>
      <c r="N33" s="156">
        <f t="shared" ca="1" si="1"/>
        <v>0</v>
      </c>
      <c r="O33" s="157" t="str">
        <f t="shared" si="2"/>
        <v>-</v>
      </c>
      <c r="P33" s="189" t="str">
        <f t="shared" si="3"/>
        <v>-</v>
      </c>
      <c r="Q33" s="128"/>
      <c r="S33" s="127">
        <f t="shared" si="7"/>
        <v>0</v>
      </c>
      <c r="T33" s="127" t="str">
        <f t="shared" si="9"/>
        <v>special</v>
      </c>
      <c r="U33" s="127">
        <f t="shared" ca="1" si="8"/>
        <v>0</v>
      </c>
      <c r="V33" s="127">
        <f t="shared" ca="1" si="4"/>
        <v>0</v>
      </c>
      <c r="W33" s="126">
        <f t="shared" si="5"/>
        <v>0</v>
      </c>
      <c r="X33" s="127">
        <f t="shared" si="6"/>
        <v>0</v>
      </c>
      <c r="IR33" s="126"/>
    </row>
    <row r="34" spans="1:252" ht="27" customHeight="1">
      <c r="A34" s="149"/>
      <c r="B34" s="128"/>
      <c r="C34" s="158"/>
      <c r="D34" s="159"/>
      <c r="E34" s="160" t="s">
        <v>30</v>
      </c>
      <c r="F34" s="160" t="s">
        <v>30</v>
      </c>
      <c r="G34" s="160" t="s">
        <v>30</v>
      </c>
      <c r="H34" s="160" t="s">
        <v>30</v>
      </c>
      <c r="I34" s="160" t="s">
        <v>30</v>
      </c>
      <c r="J34" s="160" t="s">
        <v>30</v>
      </c>
      <c r="K34" s="160" t="s">
        <v>30</v>
      </c>
      <c r="L34" s="158"/>
      <c r="M34" s="188">
        <f t="shared" ca="1" si="0"/>
        <v>0</v>
      </c>
      <c r="N34" s="156">
        <f t="shared" ca="1" si="1"/>
        <v>0</v>
      </c>
      <c r="O34" s="157" t="str">
        <f t="shared" ref="O34:O61" si="10">IF(ISBLANK(C34),"-",IF(C34=C35,ROUNDUP((L34+L35)/4,0),IF(C34=C33,"-",ROUNDUP(L34/4,0))))</f>
        <v>-</v>
      </c>
      <c r="P34" s="189" t="str">
        <f t="shared" si="3"/>
        <v>-</v>
      </c>
      <c r="Q34" s="128"/>
      <c r="S34" s="127">
        <f t="shared" si="7"/>
        <v>0</v>
      </c>
      <c r="T34" s="127" t="str">
        <f t="shared" si="9"/>
        <v>special</v>
      </c>
      <c r="U34" s="127">
        <f t="shared" ca="1" si="8"/>
        <v>0</v>
      </c>
      <c r="V34" s="127">
        <f t="shared" ca="1" si="4"/>
        <v>0</v>
      </c>
      <c r="W34" s="126">
        <f t="shared" si="5"/>
        <v>0</v>
      </c>
      <c r="X34" s="127">
        <f t="shared" si="6"/>
        <v>0</v>
      </c>
      <c r="IR34" s="126"/>
    </row>
    <row r="35" spans="1:252" ht="27" customHeight="1">
      <c r="A35" s="149"/>
      <c r="B35" s="128"/>
      <c r="C35" s="158"/>
      <c r="D35" s="159"/>
      <c r="E35" s="160" t="s">
        <v>30</v>
      </c>
      <c r="F35" s="160" t="s">
        <v>30</v>
      </c>
      <c r="G35" s="160" t="s">
        <v>30</v>
      </c>
      <c r="H35" s="160" t="s">
        <v>30</v>
      </c>
      <c r="I35" s="160" t="s">
        <v>30</v>
      </c>
      <c r="J35" s="160" t="s">
        <v>30</v>
      </c>
      <c r="K35" s="160" t="s">
        <v>30</v>
      </c>
      <c r="L35" s="158"/>
      <c r="M35" s="188">
        <f t="shared" ca="1" si="0"/>
        <v>0</v>
      </c>
      <c r="N35" s="156">
        <f t="shared" ca="1" si="1"/>
        <v>0</v>
      </c>
      <c r="O35" s="157" t="str">
        <f t="shared" si="10"/>
        <v>-</v>
      </c>
      <c r="P35" s="189" t="str">
        <f t="shared" si="3"/>
        <v>-</v>
      </c>
      <c r="Q35" s="128"/>
      <c r="S35" s="127">
        <f t="shared" si="7"/>
        <v>0</v>
      </c>
      <c r="T35" s="127" t="str">
        <f t="shared" si="9"/>
        <v>special</v>
      </c>
      <c r="U35" s="127">
        <f t="shared" ca="1" si="8"/>
        <v>0</v>
      </c>
      <c r="V35" s="127">
        <f t="shared" ca="1" si="4"/>
        <v>0</v>
      </c>
      <c r="W35" s="126">
        <f t="shared" si="5"/>
        <v>0</v>
      </c>
      <c r="X35" s="127">
        <f t="shared" si="6"/>
        <v>0</v>
      </c>
      <c r="IR35" s="126"/>
    </row>
    <row r="36" spans="1:252" ht="27" customHeight="1">
      <c r="A36" s="149"/>
      <c r="B36" s="128"/>
      <c r="C36" s="158"/>
      <c r="D36" s="159"/>
      <c r="E36" s="160" t="s">
        <v>30</v>
      </c>
      <c r="F36" s="160" t="s">
        <v>30</v>
      </c>
      <c r="G36" s="160" t="s">
        <v>30</v>
      </c>
      <c r="H36" s="160" t="s">
        <v>30</v>
      </c>
      <c r="I36" s="160" t="s">
        <v>30</v>
      </c>
      <c r="J36" s="160" t="s">
        <v>30</v>
      </c>
      <c r="K36" s="160" t="s">
        <v>30</v>
      </c>
      <c r="L36" s="158"/>
      <c r="M36" s="188">
        <f t="shared" ca="1" si="0"/>
        <v>0</v>
      </c>
      <c r="N36" s="156">
        <f t="shared" ca="1" si="1"/>
        <v>0</v>
      </c>
      <c r="O36" s="157" t="str">
        <f t="shared" si="10"/>
        <v>-</v>
      </c>
      <c r="P36" s="189" t="str">
        <f t="shared" si="3"/>
        <v>-</v>
      </c>
      <c r="Q36" s="128"/>
      <c r="S36" s="127">
        <f t="shared" si="7"/>
        <v>0</v>
      </c>
      <c r="T36" s="127" t="str">
        <f t="shared" si="9"/>
        <v>special</v>
      </c>
      <c r="U36" s="127">
        <f t="shared" ca="1" si="8"/>
        <v>0</v>
      </c>
      <c r="V36" s="127">
        <f t="shared" ca="1" si="4"/>
        <v>0</v>
      </c>
      <c r="W36" s="126">
        <f t="shared" si="5"/>
        <v>0</v>
      </c>
      <c r="X36" s="127">
        <f t="shared" si="6"/>
        <v>0</v>
      </c>
      <c r="IR36" s="126"/>
    </row>
    <row r="37" spans="1:252" ht="27" customHeight="1">
      <c r="A37" s="149"/>
      <c r="B37" s="128"/>
      <c r="C37" s="158"/>
      <c r="D37" s="159"/>
      <c r="E37" s="160" t="s">
        <v>30</v>
      </c>
      <c r="F37" s="160" t="s">
        <v>30</v>
      </c>
      <c r="G37" s="160" t="s">
        <v>30</v>
      </c>
      <c r="H37" s="160" t="s">
        <v>30</v>
      </c>
      <c r="I37" s="160" t="s">
        <v>30</v>
      </c>
      <c r="J37" s="160" t="s">
        <v>30</v>
      </c>
      <c r="K37" s="160" t="s">
        <v>30</v>
      </c>
      <c r="L37" s="158"/>
      <c r="M37" s="188">
        <f t="shared" ca="1" si="0"/>
        <v>0</v>
      </c>
      <c r="N37" s="156">
        <f t="shared" ca="1" si="1"/>
        <v>0</v>
      </c>
      <c r="O37" s="157" t="str">
        <f t="shared" si="10"/>
        <v>-</v>
      </c>
      <c r="P37" s="189" t="str">
        <f t="shared" si="3"/>
        <v>-</v>
      </c>
      <c r="Q37" s="128"/>
      <c r="S37" s="127">
        <f t="shared" si="7"/>
        <v>0</v>
      </c>
      <c r="T37" s="127" t="str">
        <f t="shared" si="9"/>
        <v>special</v>
      </c>
      <c r="U37" s="127">
        <f t="shared" ca="1" si="8"/>
        <v>0</v>
      </c>
      <c r="V37" s="127">
        <f t="shared" ca="1" si="4"/>
        <v>0</v>
      </c>
      <c r="W37" s="126">
        <f t="shared" si="5"/>
        <v>0</v>
      </c>
      <c r="X37" s="127">
        <f t="shared" si="6"/>
        <v>0</v>
      </c>
      <c r="IR37" s="126"/>
    </row>
    <row r="38" spans="1:252" ht="27" customHeight="1">
      <c r="A38" s="149"/>
      <c r="B38" s="128"/>
      <c r="C38" s="158"/>
      <c r="D38" s="159"/>
      <c r="E38" s="160" t="s">
        <v>30</v>
      </c>
      <c r="F38" s="160" t="s">
        <v>30</v>
      </c>
      <c r="G38" s="160" t="s">
        <v>30</v>
      </c>
      <c r="H38" s="160" t="s">
        <v>30</v>
      </c>
      <c r="I38" s="160" t="s">
        <v>30</v>
      </c>
      <c r="J38" s="160" t="s">
        <v>30</v>
      </c>
      <c r="K38" s="160" t="s">
        <v>30</v>
      </c>
      <c r="L38" s="158"/>
      <c r="M38" s="188">
        <f t="shared" ca="1" si="0"/>
        <v>0</v>
      </c>
      <c r="N38" s="156">
        <f t="shared" ca="1" si="1"/>
        <v>0</v>
      </c>
      <c r="O38" s="157" t="str">
        <f t="shared" si="10"/>
        <v>-</v>
      </c>
      <c r="P38" s="189" t="str">
        <f t="shared" si="3"/>
        <v>-</v>
      </c>
      <c r="Q38" s="128"/>
      <c r="S38" s="127">
        <f t="shared" si="7"/>
        <v>0</v>
      </c>
      <c r="T38" s="127" t="str">
        <f t="shared" si="9"/>
        <v>special</v>
      </c>
      <c r="U38" s="127">
        <f t="shared" ca="1" si="8"/>
        <v>0</v>
      </c>
      <c r="V38" s="127">
        <f t="shared" ca="1" si="4"/>
        <v>0</v>
      </c>
      <c r="W38" s="126">
        <f t="shared" si="5"/>
        <v>0</v>
      </c>
      <c r="X38" s="127">
        <f t="shared" si="6"/>
        <v>0</v>
      </c>
      <c r="IR38" s="126"/>
    </row>
    <row r="39" spans="1:252" ht="27" customHeight="1">
      <c r="A39" s="149"/>
      <c r="B39" s="128"/>
      <c r="C39" s="158"/>
      <c r="D39" s="159"/>
      <c r="E39" s="160" t="s">
        <v>30</v>
      </c>
      <c r="F39" s="160" t="s">
        <v>30</v>
      </c>
      <c r="G39" s="160" t="s">
        <v>30</v>
      </c>
      <c r="H39" s="160" t="s">
        <v>30</v>
      </c>
      <c r="I39" s="160" t="s">
        <v>30</v>
      </c>
      <c r="J39" s="160" t="s">
        <v>30</v>
      </c>
      <c r="K39" s="160" t="s">
        <v>30</v>
      </c>
      <c r="L39" s="158"/>
      <c r="M39" s="188">
        <f t="shared" ca="1" si="0"/>
        <v>0</v>
      </c>
      <c r="N39" s="156">
        <f t="shared" ca="1" si="1"/>
        <v>0</v>
      </c>
      <c r="O39" s="157" t="str">
        <f t="shared" si="10"/>
        <v>-</v>
      </c>
      <c r="P39" s="189" t="str">
        <f t="shared" si="3"/>
        <v>-</v>
      </c>
      <c r="Q39" s="128"/>
      <c r="S39" s="127">
        <f t="shared" si="7"/>
        <v>0</v>
      </c>
      <c r="T39" s="127" t="str">
        <f t="shared" si="9"/>
        <v>special</v>
      </c>
      <c r="U39" s="127">
        <f t="shared" ca="1" si="8"/>
        <v>0</v>
      </c>
      <c r="V39" s="127">
        <f t="shared" ca="1" si="4"/>
        <v>0</v>
      </c>
      <c r="W39" s="126">
        <f t="shared" si="5"/>
        <v>0</v>
      </c>
      <c r="X39" s="127">
        <f t="shared" si="6"/>
        <v>0</v>
      </c>
      <c r="IR39" s="126"/>
    </row>
    <row r="40" spans="1:252" ht="27" customHeight="1">
      <c r="A40" s="149"/>
      <c r="B40" s="128"/>
      <c r="C40" s="158"/>
      <c r="D40" s="159"/>
      <c r="E40" s="160" t="s">
        <v>30</v>
      </c>
      <c r="F40" s="160" t="s">
        <v>30</v>
      </c>
      <c r="G40" s="160" t="s">
        <v>30</v>
      </c>
      <c r="H40" s="160" t="s">
        <v>30</v>
      </c>
      <c r="I40" s="160" t="s">
        <v>30</v>
      </c>
      <c r="J40" s="160" t="s">
        <v>30</v>
      </c>
      <c r="K40" s="160" t="s">
        <v>30</v>
      </c>
      <c r="L40" s="158"/>
      <c r="M40" s="188">
        <f t="shared" ca="1" si="0"/>
        <v>0</v>
      </c>
      <c r="N40" s="156">
        <f t="shared" ca="1" si="1"/>
        <v>0</v>
      </c>
      <c r="O40" s="157" t="str">
        <f t="shared" si="10"/>
        <v>-</v>
      </c>
      <c r="P40" s="189" t="str">
        <f t="shared" si="3"/>
        <v>-</v>
      </c>
      <c r="Q40" s="128"/>
      <c r="S40" s="127">
        <f t="shared" si="7"/>
        <v>0</v>
      </c>
      <c r="T40" s="127" t="str">
        <f t="shared" si="9"/>
        <v>special</v>
      </c>
      <c r="U40" s="127">
        <f t="shared" ca="1" si="8"/>
        <v>0</v>
      </c>
      <c r="V40" s="127">
        <f t="shared" ca="1" si="4"/>
        <v>0</v>
      </c>
      <c r="W40" s="126">
        <f t="shared" si="5"/>
        <v>0</v>
      </c>
      <c r="X40" s="127">
        <f t="shared" si="6"/>
        <v>0</v>
      </c>
      <c r="IR40" s="126"/>
    </row>
    <row r="41" spans="1:252" ht="27" customHeight="1">
      <c r="A41" s="149"/>
      <c r="B41" s="128"/>
      <c r="C41" s="158"/>
      <c r="D41" s="159"/>
      <c r="E41" s="160" t="s">
        <v>30</v>
      </c>
      <c r="F41" s="160" t="s">
        <v>30</v>
      </c>
      <c r="G41" s="160" t="s">
        <v>30</v>
      </c>
      <c r="H41" s="160" t="s">
        <v>30</v>
      </c>
      <c r="I41" s="160" t="s">
        <v>30</v>
      </c>
      <c r="J41" s="160" t="s">
        <v>30</v>
      </c>
      <c r="K41" s="160" t="s">
        <v>30</v>
      </c>
      <c r="L41" s="158"/>
      <c r="M41" s="188">
        <f t="shared" ca="1" si="0"/>
        <v>0</v>
      </c>
      <c r="N41" s="156">
        <f t="shared" ca="1" si="1"/>
        <v>0</v>
      </c>
      <c r="O41" s="157" t="str">
        <f t="shared" si="10"/>
        <v>-</v>
      </c>
      <c r="P41" s="189" t="str">
        <f t="shared" si="3"/>
        <v>-</v>
      </c>
      <c r="Q41" s="128"/>
      <c r="S41" s="127">
        <f t="shared" si="7"/>
        <v>0</v>
      </c>
      <c r="T41" s="127" t="str">
        <f t="shared" si="9"/>
        <v>special</v>
      </c>
      <c r="U41" s="127">
        <f t="shared" ca="1" si="8"/>
        <v>0</v>
      </c>
      <c r="V41" s="127">
        <f t="shared" ca="1" si="4"/>
        <v>0</v>
      </c>
      <c r="W41" s="126">
        <f t="shared" si="5"/>
        <v>0</v>
      </c>
      <c r="X41" s="127">
        <f t="shared" si="6"/>
        <v>0</v>
      </c>
      <c r="IR41" s="126"/>
    </row>
    <row r="42" spans="1:252" ht="27" customHeight="1">
      <c r="A42" s="149"/>
      <c r="B42" s="128"/>
      <c r="C42" s="158"/>
      <c r="D42" s="159"/>
      <c r="E42" s="160" t="s">
        <v>30</v>
      </c>
      <c r="F42" s="160" t="s">
        <v>30</v>
      </c>
      <c r="G42" s="160" t="s">
        <v>30</v>
      </c>
      <c r="H42" s="160" t="s">
        <v>30</v>
      </c>
      <c r="I42" s="160" t="s">
        <v>30</v>
      </c>
      <c r="J42" s="160" t="s">
        <v>30</v>
      </c>
      <c r="K42" s="160" t="s">
        <v>30</v>
      </c>
      <c r="L42" s="158"/>
      <c r="M42" s="188">
        <f t="shared" ca="1" si="0"/>
        <v>0</v>
      </c>
      <c r="N42" s="156">
        <f t="shared" ca="1" si="1"/>
        <v>0</v>
      </c>
      <c r="O42" s="157" t="str">
        <f t="shared" si="10"/>
        <v>-</v>
      </c>
      <c r="P42" s="189" t="str">
        <f t="shared" si="3"/>
        <v>-</v>
      </c>
      <c r="Q42" s="128"/>
      <c r="S42" s="127">
        <f t="shared" si="7"/>
        <v>0</v>
      </c>
      <c r="T42" s="127" t="str">
        <f t="shared" si="9"/>
        <v>special</v>
      </c>
      <c r="U42" s="127">
        <f t="shared" ca="1" si="8"/>
        <v>0</v>
      </c>
      <c r="V42" s="127">
        <f t="shared" ca="1" si="4"/>
        <v>0</v>
      </c>
      <c r="W42" s="126">
        <f t="shared" si="5"/>
        <v>0</v>
      </c>
      <c r="X42" s="127">
        <f t="shared" si="6"/>
        <v>0</v>
      </c>
      <c r="IR42" s="126"/>
    </row>
    <row r="43" spans="1:252" ht="27" customHeight="1">
      <c r="A43" s="149"/>
      <c r="B43" s="128"/>
      <c r="C43" s="158"/>
      <c r="D43" s="159"/>
      <c r="E43" s="160" t="s">
        <v>30</v>
      </c>
      <c r="F43" s="160" t="s">
        <v>30</v>
      </c>
      <c r="G43" s="160" t="s">
        <v>30</v>
      </c>
      <c r="H43" s="160" t="s">
        <v>30</v>
      </c>
      <c r="I43" s="160" t="s">
        <v>30</v>
      </c>
      <c r="J43" s="160" t="s">
        <v>30</v>
      </c>
      <c r="K43" s="160" t="s">
        <v>30</v>
      </c>
      <c r="L43" s="158"/>
      <c r="M43" s="188">
        <f t="shared" ca="1" si="0"/>
        <v>0</v>
      </c>
      <c r="N43" s="156">
        <f t="shared" ca="1" si="1"/>
        <v>0</v>
      </c>
      <c r="O43" s="157" t="str">
        <f t="shared" si="10"/>
        <v>-</v>
      </c>
      <c r="P43" s="189" t="str">
        <f t="shared" si="3"/>
        <v>-</v>
      </c>
      <c r="Q43" s="128"/>
      <c r="S43" s="127">
        <f t="shared" si="7"/>
        <v>0</v>
      </c>
      <c r="T43" s="127" t="str">
        <f t="shared" si="9"/>
        <v>special</v>
      </c>
      <c r="U43" s="127">
        <f t="shared" ca="1" si="8"/>
        <v>0</v>
      </c>
      <c r="V43" s="127">
        <f t="shared" ca="1" si="4"/>
        <v>0</v>
      </c>
      <c r="W43" s="126">
        <f t="shared" si="5"/>
        <v>0</v>
      </c>
      <c r="X43" s="127">
        <f t="shared" si="6"/>
        <v>0</v>
      </c>
      <c r="IR43" s="126"/>
    </row>
    <row r="44" spans="1:252" ht="27" customHeight="1">
      <c r="A44" s="149"/>
      <c r="B44" s="128"/>
      <c r="C44" s="158"/>
      <c r="D44" s="159"/>
      <c r="E44" s="160" t="s">
        <v>30</v>
      </c>
      <c r="F44" s="160" t="s">
        <v>30</v>
      </c>
      <c r="G44" s="160" t="s">
        <v>30</v>
      </c>
      <c r="H44" s="160" t="s">
        <v>30</v>
      </c>
      <c r="I44" s="160" t="s">
        <v>30</v>
      </c>
      <c r="J44" s="160" t="s">
        <v>30</v>
      </c>
      <c r="K44" s="160" t="s">
        <v>30</v>
      </c>
      <c r="L44" s="158"/>
      <c r="M44" s="188">
        <f t="shared" ca="1" si="0"/>
        <v>0</v>
      </c>
      <c r="N44" s="156">
        <f t="shared" ca="1" si="1"/>
        <v>0</v>
      </c>
      <c r="O44" s="157" t="str">
        <f t="shared" si="10"/>
        <v>-</v>
      </c>
      <c r="P44" s="189" t="str">
        <f t="shared" si="3"/>
        <v>-</v>
      </c>
      <c r="Q44" s="128"/>
      <c r="S44" s="127">
        <f t="shared" si="7"/>
        <v>0</v>
      </c>
      <c r="T44" s="127" t="str">
        <f t="shared" si="9"/>
        <v>special</v>
      </c>
      <c r="U44" s="127">
        <f t="shared" ca="1" si="8"/>
        <v>0</v>
      </c>
      <c r="V44" s="127">
        <f t="shared" ca="1" si="4"/>
        <v>0</v>
      </c>
      <c r="W44" s="126">
        <f t="shared" si="5"/>
        <v>0</v>
      </c>
      <c r="X44" s="127">
        <f t="shared" si="6"/>
        <v>0</v>
      </c>
      <c r="IR44" s="126"/>
    </row>
    <row r="45" spans="1:252" ht="27" customHeight="1">
      <c r="A45" s="149"/>
      <c r="B45" s="128"/>
      <c r="C45" s="158"/>
      <c r="D45" s="159"/>
      <c r="E45" s="160" t="s">
        <v>30</v>
      </c>
      <c r="F45" s="160" t="s">
        <v>30</v>
      </c>
      <c r="G45" s="160" t="s">
        <v>30</v>
      </c>
      <c r="H45" s="160" t="s">
        <v>30</v>
      </c>
      <c r="I45" s="160" t="s">
        <v>30</v>
      </c>
      <c r="J45" s="160" t="s">
        <v>30</v>
      </c>
      <c r="K45" s="160" t="s">
        <v>30</v>
      </c>
      <c r="L45" s="158"/>
      <c r="M45" s="188">
        <f t="shared" ca="1" si="0"/>
        <v>0</v>
      </c>
      <c r="N45" s="156">
        <f t="shared" ca="1" si="1"/>
        <v>0</v>
      </c>
      <c r="O45" s="157" t="str">
        <f t="shared" si="10"/>
        <v>-</v>
      </c>
      <c r="P45" s="189" t="str">
        <f t="shared" si="3"/>
        <v>-</v>
      </c>
      <c r="Q45" s="128"/>
      <c r="S45" s="127">
        <f t="shared" si="7"/>
        <v>0</v>
      </c>
      <c r="T45" s="127" t="str">
        <f t="shared" si="9"/>
        <v>special</v>
      </c>
      <c r="U45" s="127">
        <f t="shared" ca="1" si="8"/>
        <v>0</v>
      </c>
      <c r="V45" s="127">
        <f t="shared" ca="1" si="4"/>
        <v>0</v>
      </c>
      <c r="W45" s="126">
        <f t="shared" si="5"/>
        <v>0</v>
      </c>
      <c r="X45" s="127">
        <f t="shared" si="6"/>
        <v>0</v>
      </c>
      <c r="IR45" s="126"/>
    </row>
    <row r="46" spans="1:252" ht="27" customHeight="1">
      <c r="A46" s="149"/>
      <c r="B46" s="128"/>
      <c r="C46" s="158"/>
      <c r="D46" s="159"/>
      <c r="E46" s="160" t="s">
        <v>30</v>
      </c>
      <c r="F46" s="160" t="s">
        <v>30</v>
      </c>
      <c r="G46" s="160" t="s">
        <v>30</v>
      </c>
      <c r="H46" s="160" t="s">
        <v>30</v>
      </c>
      <c r="I46" s="160" t="s">
        <v>30</v>
      </c>
      <c r="J46" s="160" t="s">
        <v>30</v>
      </c>
      <c r="K46" s="160" t="s">
        <v>30</v>
      </c>
      <c r="L46" s="158"/>
      <c r="M46" s="188">
        <f t="shared" ca="1" si="0"/>
        <v>0</v>
      </c>
      <c r="N46" s="156">
        <f t="shared" ca="1" si="1"/>
        <v>0</v>
      </c>
      <c r="O46" s="157" t="str">
        <f t="shared" si="10"/>
        <v>-</v>
      </c>
      <c r="P46" s="189" t="str">
        <f t="shared" si="3"/>
        <v>-</v>
      </c>
      <c r="Q46" s="128"/>
      <c r="S46" s="127">
        <f t="shared" si="7"/>
        <v>0</v>
      </c>
      <c r="T46" s="127" t="str">
        <f t="shared" si="9"/>
        <v>special</v>
      </c>
      <c r="U46" s="127">
        <f t="shared" ca="1" si="8"/>
        <v>0</v>
      </c>
      <c r="V46" s="127">
        <f t="shared" ca="1" si="4"/>
        <v>0</v>
      </c>
      <c r="W46" s="126">
        <f t="shared" si="5"/>
        <v>0</v>
      </c>
      <c r="X46" s="127">
        <f t="shared" si="6"/>
        <v>0</v>
      </c>
      <c r="IR46" s="126"/>
    </row>
    <row r="47" spans="1:252" ht="27" customHeight="1">
      <c r="A47" s="149"/>
      <c r="B47" s="128"/>
      <c r="C47" s="158"/>
      <c r="D47" s="159"/>
      <c r="E47" s="160" t="s">
        <v>30</v>
      </c>
      <c r="F47" s="160" t="s">
        <v>30</v>
      </c>
      <c r="G47" s="160" t="s">
        <v>30</v>
      </c>
      <c r="H47" s="160" t="s">
        <v>30</v>
      </c>
      <c r="I47" s="160" t="s">
        <v>30</v>
      </c>
      <c r="J47" s="160" t="s">
        <v>30</v>
      </c>
      <c r="K47" s="160" t="s">
        <v>30</v>
      </c>
      <c r="L47" s="158"/>
      <c r="M47" s="188">
        <f t="shared" ca="1" si="0"/>
        <v>0</v>
      </c>
      <c r="N47" s="156">
        <f t="shared" ca="1" si="1"/>
        <v>0</v>
      </c>
      <c r="O47" s="157" t="str">
        <f t="shared" si="10"/>
        <v>-</v>
      </c>
      <c r="P47" s="189" t="str">
        <f t="shared" si="3"/>
        <v>-</v>
      </c>
      <c r="Q47" s="128"/>
      <c r="S47" s="127">
        <f t="shared" si="7"/>
        <v>0</v>
      </c>
      <c r="T47" s="127" t="str">
        <f t="shared" si="9"/>
        <v>special</v>
      </c>
      <c r="U47" s="127">
        <f t="shared" ca="1" si="8"/>
        <v>0</v>
      </c>
      <c r="V47" s="127">
        <f t="shared" ca="1" si="4"/>
        <v>0</v>
      </c>
      <c r="W47" s="126">
        <f t="shared" si="5"/>
        <v>0</v>
      </c>
      <c r="X47" s="127">
        <f t="shared" si="6"/>
        <v>0</v>
      </c>
      <c r="IR47" s="126"/>
    </row>
    <row r="48" spans="1:252" ht="27" customHeight="1">
      <c r="A48" s="149"/>
      <c r="B48" s="128"/>
      <c r="C48" s="158"/>
      <c r="D48" s="159"/>
      <c r="E48" s="160" t="s">
        <v>30</v>
      </c>
      <c r="F48" s="160" t="s">
        <v>30</v>
      </c>
      <c r="G48" s="160" t="s">
        <v>30</v>
      </c>
      <c r="H48" s="160" t="s">
        <v>30</v>
      </c>
      <c r="I48" s="160" t="s">
        <v>30</v>
      </c>
      <c r="J48" s="160" t="s">
        <v>30</v>
      </c>
      <c r="K48" s="160" t="s">
        <v>30</v>
      </c>
      <c r="L48" s="158"/>
      <c r="M48" s="188">
        <f t="shared" ca="1" si="0"/>
        <v>0</v>
      </c>
      <c r="N48" s="156">
        <f t="shared" ca="1" si="1"/>
        <v>0</v>
      </c>
      <c r="O48" s="157" t="str">
        <f t="shared" si="10"/>
        <v>-</v>
      </c>
      <c r="P48" s="189" t="str">
        <f t="shared" si="3"/>
        <v>-</v>
      </c>
      <c r="Q48" s="128"/>
      <c r="S48" s="127">
        <f t="shared" si="7"/>
        <v>0</v>
      </c>
      <c r="T48" s="127" t="str">
        <f t="shared" si="9"/>
        <v>special</v>
      </c>
      <c r="U48" s="127">
        <f t="shared" ca="1" si="8"/>
        <v>0</v>
      </c>
      <c r="V48" s="127">
        <f t="shared" ca="1" si="4"/>
        <v>0</v>
      </c>
      <c r="W48" s="126">
        <f t="shared" si="5"/>
        <v>0</v>
      </c>
      <c r="X48" s="127">
        <f t="shared" si="6"/>
        <v>0</v>
      </c>
      <c r="IR48" s="126"/>
    </row>
    <row r="49" spans="1:252" ht="27.75" customHeight="1">
      <c r="A49" s="149"/>
      <c r="B49" s="128"/>
      <c r="C49" s="158"/>
      <c r="D49" s="159"/>
      <c r="E49" s="160" t="s">
        <v>30</v>
      </c>
      <c r="F49" s="160" t="s">
        <v>30</v>
      </c>
      <c r="G49" s="160" t="s">
        <v>30</v>
      </c>
      <c r="H49" s="160" t="s">
        <v>30</v>
      </c>
      <c r="I49" s="160" t="s">
        <v>30</v>
      </c>
      <c r="J49" s="160" t="s">
        <v>30</v>
      </c>
      <c r="K49" s="160" t="s">
        <v>30</v>
      </c>
      <c r="L49" s="158"/>
      <c r="M49" s="188">
        <f t="shared" ca="1" si="0"/>
        <v>0</v>
      </c>
      <c r="N49" s="156">
        <f t="shared" ca="1" si="1"/>
        <v>0</v>
      </c>
      <c r="O49" s="157" t="str">
        <f t="shared" si="10"/>
        <v>-</v>
      </c>
      <c r="P49" s="189" t="str">
        <f t="shared" si="3"/>
        <v>-</v>
      </c>
      <c r="Q49" s="128"/>
      <c r="S49" s="127">
        <f t="shared" ref="S49:S60" si="11">IF(E49="SCh",1,0)</f>
        <v>0</v>
      </c>
      <c r="T49" s="127" t="str">
        <f t="shared" si="9"/>
        <v>special</v>
      </c>
      <c r="U49" s="127">
        <f t="shared" ca="1" si="8"/>
        <v>0</v>
      </c>
      <c r="V49" s="127">
        <f t="shared" ca="1" si="4"/>
        <v>0</v>
      </c>
      <c r="W49" s="126">
        <f t="shared" si="5"/>
        <v>0</v>
      </c>
      <c r="X49" s="127">
        <f t="shared" si="6"/>
        <v>0</v>
      </c>
      <c r="IR49" s="126"/>
    </row>
    <row r="50" spans="1:252" ht="27.75" customHeight="1">
      <c r="A50" s="149"/>
      <c r="B50" s="128"/>
      <c r="C50" s="158"/>
      <c r="D50" s="159"/>
      <c r="E50" s="160" t="s">
        <v>30</v>
      </c>
      <c r="F50" s="160" t="s">
        <v>30</v>
      </c>
      <c r="G50" s="160" t="s">
        <v>30</v>
      </c>
      <c r="H50" s="160" t="s">
        <v>30</v>
      </c>
      <c r="I50" s="160" t="s">
        <v>30</v>
      </c>
      <c r="J50" s="160" t="s">
        <v>30</v>
      </c>
      <c r="K50" s="160" t="s">
        <v>30</v>
      </c>
      <c r="L50" s="158"/>
      <c r="M50" s="188">
        <f t="shared" ca="1" si="0"/>
        <v>0</v>
      </c>
      <c r="N50" s="156">
        <f t="shared" ca="1" si="1"/>
        <v>0</v>
      </c>
      <c r="O50" s="157" t="str">
        <f t="shared" si="10"/>
        <v>-</v>
      </c>
      <c r="P50" s="189" t="str">
        <f t="shared" si="3"/>
        <v>-</v>
      </c>
      <c r="Q50" s="128"/>
      <c r="S50" s="127">
        <f t="shared" si="11"/>
        <v>0</v>
      </c>
      <c r="T50" s="127" t="str">
        <f t="shared" si="9"/>
        <v>special</v>
      </c>
      <c r="U50" s="127">
        <f t="shared" ca="1" si="8"/>
        <v>0</v>
      </c>
      <c r="V50" s="127">
        <f t="shared" ca="1" si="4"/>
        <v>0</v>
      </c>
      <c r="W50" s="126">
        <f t="shared" si="5"/>
        <v>0</v>
      </c>
      <c r="X50" s="127">
        <f t="shared" si="6"/>
        <v>0</v>
      </c>
    </row>
    <row r="51" spans="1:252" ht="27.75" customHeight="1">
      <c r="A51" s="149"/>
      <c r="B51" s="128"/>
      <c r="C51" s="158"/>
      <c r="D51" s="159"/>
      <c r="E51" s="160" t="s">
        <v>30</v>
      </c>
      <c r="F51" s="160" t="s">
        <v>30</v>
      </c>
      <c r="G51" s="160" t="s">
        <v>30</v>
      </c>
      <c r="H51" s="160" t="s">
        <v>30</v>
      </c>
      <c r="I51" s="160" t="s">
        <v>30</v>
      </c>
      <c r="J51" s="160" t="s">
        <v>30</v>
      </c>
      <c r="K51" s="160" t="s">
        <v>30</v>
      </c>
      <c r="L51" s="158"/>
      <c r="M51" s="188">
        <f t="shared" ca="1" si="0"/>
        <v>0</v>
      </c>
      <c r="N51" s="156">
        <f t="shared" ca="1" si="1"/>
        <v>0</v>
      </c>
      <c r="O51" s="157" t="str">
        <f t="shared" si="10"/>
        <v>-</v>
      </c>
      <c r="P51" s="189" t="str">
        <f t="shared" si="3"/>
        <v>-</v>
      </c>
      <c r="Q51" s="128"/>
      <c r="S51" s="127">
        <f t="shared" si="11"/>
        <v>0</v>
      </c>
      <c r="T51" s="127" t="str">
        <f t="shared" si="9"/>
        <v>special</v>
      </c>
      <c r="U51" s="127">
        <f t="shared" ca="1" si="8"/>
        <v>0</v>
      </c>
      <c r="V51" s="127">
        <f t="shared" ca="1" si="4"/>
        <v>0</v>
      </c>
      <c r="W51" s="126">
        <f t="shared" si="5"/>
        <v>0</v>
      </c>
      <c r="X51" s="127">
        <f t="shared" si="6"/>
        <v>0</v>
      </c>
    </row>
    <row r="52" spans="1:252" ht="27.75" customHeight="1">
      <c r="A52" s="149"/>
      <c r="B52" s="128"/>
      <c r="C52" s="158"/>
      <c r="D52" s="159"/>
      <c r="E52" s="160" t="s">
        <v>30</v>
      </c>
      <c r="F52" s="160" t="s">
        <v>30</v>
      </c>
      <c r="G52" s="160" t="s">
        <v>30</v>
      </c>
      <c r="H52" s="160" t="s">
        <v>30</v>
      </c>
      <c r="I52" s="160" t="s">
        <v>30</v>
      </c>
      <c r="J52" s="160" t="s">
        <v>30</v>
      </c>
      <c r="K52" s="160" t="s">
        <v>30</v>
      </c>
      <c r="L52" s="158"/>
      <c r="M52" s="188">
        <f t="shared" ca="1" si="0"/>
        <v>0</v>
      </c>
      <c r="N52" s="156">
        <f t="shared" ca="1" si="1"/>
        <v>0</v>
      </c>
      <c r="O52" s="157" t="str">
        <f t="shared" si="10"/>
        <v>-</v>
      </c>
      <c r="P52" s="189" t="str">
        <f t="shared" si="3"/>
        <v>-</v>
      </c>
      <c r="Q52" s="128"/>
      <c r="S52" s="127">
        <f t="shared" si="11"/>
        <v>0</v>
      </c>
      <c r="T52" s="127" t="str">
        <f t="shared" si="9"/>
        <v>special</v>
      </c>
      <c r="U52" s="127">
        <f t="shared" ca="1" si="8"/>
        <v>0</v>
      </c>
      <c r="V52" s="127">
        <f t="shared" ca="1" si="4"/>
        <v>0</v>
      </c>
      <c r="W52" s="126">
        <f t="shared" si="5"/>
        <v>0</v>
      </c>
      <c r="X52" s="127">
        <f t="shared" si="6"/>
        <v>0</v>
      </c>
    </row>
    <row r="53" spans="1:252" ht="27.75" customHeight="1">
      <c r="A53" s="149"/>
      <c r="B53" s="128"/>
      <c r="C53" s="158"/>
      <c r="D53" s="159"/>
      <c r="E53" s="160" t="s">
        <v>30</v>
      </c>
      <c r="F53" s="160" t="s">
        <v>30</v>
      </c>
      <c r="G53" s="160" t="s">
        <v>30</v>
      </c>
      <c r="H53" s="160" t="s">
        <v>30</v>
      </c>
      <c r="I53" s="160" t="s">
        <v>30</v>
      </c>
      <c r="J53" s="160" t="s">
        <v>30</v>
      </c>
      <c r="K53" s="160" t="s">
        <v>30</v>
      </c>
      <c r="L53" s="158"/>
      <c r="M53" s="188">
        <f t="shared" ca="1" si="0"/>
        <v>0</v>
      </c>
      <c r="N53" s="156">
        <f t="shared" ca="1" si="1"/>
        <v>0</v>
      </c>
      <c r="O53" s="157" t="str">
        <f t="shared" si="10"/>
        <v>-</v>
      </c>
      <c r="P53" s="189" t="str">
        <f t="shared" si="3"/>
        <v>-</v>
      </c>
      <c r="Q53" s="128"/>
      <c r="S53" s="127">
        <f t="shared" si="11"/>
        <v>0</v>
      </c>
      <c r="T53" s="127" t="str">
        <f t="shared" si="9"/>
        <v>special</v>
      </c>
      <c r="U53" s="127">
        <f t="shared" ca="1" si="8"/>
        <v>0</v>
      </c>
      <c r="V53" s="127">
        <f t="shared" ca="1" si="4"/>
        <v>0</v>
      </c>
      <c r="W53" s="126">
        <f t="shared" si="5"/>
        <v>0</v>
      </c>
      <c r="X53" s="127">
        <f t="shared" si="6"/>
        <v>0</v>
      </c>
    </row>
    <row r="54" spans="1:252" ht="27.75" customHeight="1">
      <c r="A54" s="149"/>
      <c r="B54" s="128"/>
      <c r="C54" s="158"/>
      <c r="D54" s="159"/>
      <c r="E54" s="160" t="s">
        <v>30</v>
      </c>
      <c r="F54" s="160" t="s">
        <v>30</v>
      </c>
      <c r="G54" s="160" t="s">
        <v>30</v>
      </c>
      <c r="H54" s="160" t="s">
        <v>30</v>
      </c>
      <c r="I54" s="160" t="s">
        <v>30</v>
      </c>
      <c r="J54" s="160" t="s">
        <v>30</v>
      </c>
      <c r="K54" s="160" t="s">
        <v>30</v>
      </c>
      <c r="L54" s="158"/>
      <c r="M54" s="188">
        <f t="shared" ca="1" si="0"/>
        <v>0</v>
      </c>
      <c r="N54" s="156">
        <f t="shared" ca="1" si="1"/>
        <v>0</v>
      </c>
      <c r="O54" s="157" t="str">
        <f t="shared" si="10"/>
        <v>-</v>
      </c>
      <c r="P54" s="189" t="str">
        <f t="shared" si="3"/>
        <v>-</v>
      </c>
      <c r="Q54" s="128"/>
      <c r="S54" s="127">
        <f t="shared" si="11"/>
        <v>0</v>
      </c>
      <c r="T54" s="127" t="str">
        <f t="shared" si="9"/>
        <v>special</v>
      </c>
      <c r="U54" s="127">
        <f t="shared" ca="1" si="8"/>
        <v>0</v>
      </c>
      <c r="V54" s="127">
        <f t="shared" ca="1" si="4"/>
        <v>0</v>
      </c>
      <c r="W54" s="126">
        <f t="shared" si="5"/>
        <v>0</v>
      </c>
      <c r="X54" s="127">
        <f t="shared" si="6"/>
        <v>0</v>
      </c>
    </row>
    <row r="55" spans="1:252" ht="27.75" customHeight="1">
      <c r="A55" s="149"/>
      <c r="B55" s="128"/>
      <c r="C55" s="158"/>
      <c r="D55" s="159"/>
      <c r="E55" s="160" t="s">
        <v>30</v>
      </c>
      <c r="F55" s="160" t="s">
        <v>30</v>
      </c>
      <c r="G55" s="160" t="s">
        <v>30</v>
      </c>
      <c r="H55" s="160" t="s">
        <v>30</v>
      </c>
      <c r="I55" s="160" t="s">
        <v>30</v>
      </c>
      <c r="J55" s="160" t="s">
        <v>30</v>
      </c>
      <c r="K55" s="160" t="s">
        <v>30</v>
      </c>
      <c r="L55" s="158"/>
      <c r="M55" s="188">
        <f t="shared" ca="1" si="0"/>
        <v>0</v>
      </c>
      <c r="N55" s="156">
        <f t="shared" ca="1" si="1"/>
        <v>0</v>
      </c>
      <c r="O55" s="157" t="str">
        <f t="shared" si="10"/>
        <v>-</v>
      </c>
      <c r="P55" s="189" t="str">
        <f t="shared" si="3"/>
        <v>-</v>
      </c>
      <c r="Q55" s="128"/>
      <c r="S55" s="127">
        <f t="shared" si="11"/>
        <v>0</v>
      </c>
      <c r="T55" s="127" t="str">
        <f t="shared" si="9"/>
        <v>special</v>
      </c>
      <c r="U55" s="127">
        <f t="shared" ca="1" si="8"/>
        <v>0</v>
      </c>
      <c r="V55" s="127">
        <f t="shared" ca="1" si="4"/>
        <v>0</v>
      </c>
      <c r="W55" s="126">
        <f t="shared" si="5"/>
        <v>0</v>
      </c>
      <c r="X55" s="127">
        <f t="shared" si="6"/>
        <v>0</v>
      </c>
    </row>
    <row r="56" spans="1:252" ht="27.75" customHeight="1">
      <c r="A56" s="149"/>
      <c r="B56" s="128"/>
      <c r="C56" s="158"/>
      <c r="D56" s="159"/>
      <c r="E56" s="160" t="s">
        <v>30</v>
      </c>
      <c r="F56" s="160" t="s">
        <v>30</v>
      </c>
      <c r="G56" s="160" t="s">
        <v>30</v>
      </c>
      <c r="H56" s="160" t="s">
        <v>30</v>
      </c>
      <c r="I56" s="160" t="s">
        <v>30</v>
      </c>
      <c r="J56" s="160" t="s">
        <v>30</v>
      </c>
      <c r="K56" s="160" t="s">
        <v>30</v>
      </c>
      <c r="L56" s="158"/>
      <c r="M56" s="188">
        <f t="shared" ca="1" si="0"/>
        <v>0</v>
      </c>
      <c r="N56" s="156">
        <f t="shared" ca="1" si="1"/>
        <v>0</v>
      </c>
      <c r="O56" s="157" t="str">
        <f t="shared" si="10"/>
        <v>-</v>
      </c>
      <c r="P56" s="189" t="str">
        <f t="shared" si="3"/>
        <v>-</v>
      </c>
      <c r="Q56" s="128"/>
      <c r="S56" s="127">
        <f t="shared" si="11"/>
        <v>0</v>
      </c>
      <c r="T56" s="127" t="str">
        <f t="shared" si="9"/>
        <v>special</v>
      </c>
      <c r="U56" s="127">
        <f t="shared" ca="1" si="8"/>
        <v>0</v>
      </c>
      <c r="V56" s="127">
        <f t="shared" ca="1" si="4"/>
        <v>0</v>
      </c>
      <c r="W56" s="126">
        <f t="shared" si="5"/>
        <v>0</v>
      </c>
      <c r="X56" s="127">
        <f t="shared" si="6"/>
        <v>0</v>
      </c>
    </row>
    <row r="57" spans="1:252" ht="27.75" customHeight="1">
      <c r="A57" s="149"/>
      <c r="B57" s="128"/>
      <c r="C57" s="158"/>
      <c r="D57" s="159"/>
      <c r="E57" s="160" t="s">
        <v>30</v>
      </c>
      <c r="F57" s="160" t="s">
        <v>30</v>
      </c>
      <c r="G57" s="160" t="s">
        <v>30</v>
      </c>
      <c r="H57" s="160" t="s">
        <v>30</v>
      </c>
      <c r="I57" s="160" t="s">
        <v>30</v>
      </c>
      <c r="J57" s="160" t="s">
        <v>30</v>
      </c>
      <c r="K57" s="160" t="s">
        <v>30</v>
      </c>
      <c r="L57" s="158"/>
      <c r="M57" s="188">
        <f t="shared" ca="1" si="0"/>
        <v>0</v>
      </c>
      <c r="N57" s="156">
        <f t="shared" ca="1" si="1"/>
        <v>0</v>
      </c>
      <c r="O57" s="157" t="str">
        <f t="shared" si="10"/>
        <v>-</v>
      </c>
      <c r="P57" s="189" t="str">
        <f t="shared" si="3"/>
        <v>-</v>
      </c>
      <c r="Q57" s="128"/>
      <c r="S57" s="127">
        <f t="shared" si="11"/>
        <v>0</v>
      </c>
      <c r="T57" s="127" t="str">
        <f t="shared" si="9"/>
        <v>special</v>
      </c>
      <c r="U57" s="127">
        <f t="shared" ca="1" si="8"/>
        <v>0</v>
      </c>
      <c r="V57" s="127">
        <f t="shared" ca="1" si="4"/>
        <v>0</v>
      </c>
      <c r="W57" s="126">
        <f t="shared" si="5"/>
        <v>0</v>
      </c>
      <c r="X57" s="127">
        <f t="shared" si="6"/>
        <v>0</v>
      </c>
    </row>
    <row r="58" spans="1:252" ht="27.75" customHeight="1">
      <c r="A58" s="149"/>
      <c r="B58" s="128"/>
      <c r="C58" s="158"/>
      <c r="D58" s="159"/>
      <c r="E58" s="160" t="s">
        <v>30</v>
      </c>
      <c r="F58" s="160" t="s">
        <v>30</v>
      </c>
      <c r="G58" s="160" t="s">
        <v>30</v>
      </c>
      <c r="H58" s="160" t="s">
        <v>30</v>
      </c>
      <c r="I58" s="160" t="s">
        <v>30</v>
      </c>
      <c r="J58" s="160" t="s">
        <v>30</v>
      </c>
      <c r="K58" s="160" t="s">
        <v>30</v>
      </c>
      <c r="L58" s="158"/>
      <c r="M58" s="188">
        <f t="shared" ca="1" si="0"/>
        <v>0</v>
      </c>
      <c r="N58" s="156">
        <f t="shared" ca="1" si="1"/>
        <v>0</v>
      </c>
      <c r="O58" s="157" t="str">
        <f t="shared" si="10"/>
        <v>-</v>
      </c>
      <c r="P58" s="189" t="str">
        <f t="shared" si="3"/>
        <v>-</v>
      </c>
      <c r="Q58" s="128"/>
      <c r="S58" s="127">
        <f t="shared" si="11"/>
        <v>0</v>
      </c>
      <c r="T58" s="127" t="str">
        <f t="shared" si="9"/>
        <v>special</v>
      </c>
      <c r="U58" s="127">
        <f t="shared" ca="1" si="8"/>
        <v>0</v>
      </c>
      <c r="V58" s="127">
        <f t="shared" ca="1" si="4"/>
        <v>0</v>
      </c>
      <c r="W58" s="126">
        <f t="shared" si="5"/>
        <v>0</v>
      </c>
      <c r="X58" s="127">
        <f t="shared" si="6"/>
        <v>0</v>
      </c>
    </row>
    <row r="59" spans="1:252" ht="27.75" customHeight="1">
      <c r="A59" s="149"/>
      <c r="B59" s="128"/>
      <c r="C59" s="158"/>
      <c r="D59" s="159"/>
      <c r="E59" s="160" t="s">
        <v>30</v>
      </c>
      <c r="F59" s="160" t="s">
        <v>30</v>
      </c>
      <c r="G59" s="160" t="s">
        <v>30</v>
      </c>
      <c r="H59" s="160" t="s">
        <v>30</v>
      </c>
      <c r="I59" s="160" t="s">
        <v>30</v>
      </c>
      <c r="J59" s="160" t="s">
        <v>30</v>
      </c>
      <c r="K59" s="160" t="s">
        <v>30</v>
      </c>
      <c r="L59" s="158"/>
      <c r="M59" s="188">
        <f t="shared" ca="1" si="0"/>
        <v>0</v>
      </c>
      <c r="N59" s="156">
        <f t="shared" ca="1" si="1"/>
        <v>0</v>
      </c>
      <c r="O59" s="157" t="str">
        <f t="shared" si="10"/>
        <v>-</v>
      </c>
      <c r="P59" s="189" t="str">
        <f t="shared" si="3"/>
        <v>-</v>
      </c>
      <c r="Q59" s="128"/>
      <c r="S59" s="127">
        <f t="shared" si="11"/>
        <v>0</v>
      </c>
      <c r="T59" s="127" t="str">
        <f t="shared" si="9"/>
        <v>special</v>
      </c>
      <c r="U59" s="127">
        <f t="shared" ca="1" si="8"/>
        <v>0</v>
      </c>
      <c r="V59" s="127">
        <f t="shared" ca="1" si="4"/>
        <v>0</v>
      </c>
      <c r="W59" s="126">
        <f t="shared" si="5"/>
        <v>0</v>
      </c>
      <c r="X59" s="127">
        <f t="shared" si="6"/>
        <v>0</v>
      </c>
    </row>
    <row r="60" spans="1:252" ht="27.75" customHeight="1">
      <c r="A60" s="149"/>
      <c r="B60" s="128"/>
      <c r="C60" s="158"/>
      <c r="D60" s="159"/>
      <c r="E60" s="160" t="s">
        <v>30</v>
      </c>
      <c r="F60" s="160" t="s">
        <v>30</v>
      </c>
      <c r="G60" s="160" t="s">
        <v>30</v>
      </c>
      <c r="H60" s="160" t="s">
        <v>30</v>
      </c>
      <c r="I60" s="160" t="s">
        <v>30</v>
      </c>
      <c r="J60" s="160" t="s">
        <v>30</v>
      </c>
      <c r="K60" s="160" t="s">
        <v>30</v>
      </c>
      <c r="L60" s="158"/>
      <c r="M60" s="188">
        <f t="shared" ca="1" si="0"/>
        <v>0</v>
      </c>
      <c r="N60" s="156">
        <f t="shared" ca="1" si="1"/>
        <v>0</v>
      </c>
      <c r="O60" s="157" t="str">
        <f t="shared" si="10"/>
        <v>-</v>
      </c>
      <c r="P60" s="189" t="str">
        <f t="shared" si="3"/>
        <v>-</v>
      </c>
      <c r="Q60" s="128"/>
      <c r="S60" s="127">
        <f t="shared" si="11"/>
        <v>0</v>
      </c>
      <c r="T60" s="127" t="str">
        <f t="shared" si="9"/>
        <v>special</v>
      </c>
      <c r="U60" s="127">
        <f t="shared" ca="1" si="8"/>
        <v>0</v>
      </c>
      <c r="V60" s="127">
        <f t="shared" ca="1" si="4"/>
        <v>0</v>
      </c>
      <c r="W60" s="126">
        <f t="shared" si="5"/>
        <v>0</v>
      </c>
      <c r="X60" s="127">
        <f t="shared" si="6"/>
        <v>0</v>
      </c>
    </row>
    <row r="61" spans="1:252" ht="28.5" customHeight="1" thickBot="1">
      <c r="A61" s="149"/>
      <c r="B61" s="128"/>
      <c r="C61" s="161"/>
      <c r="D61" s="162"/>
      <c r="E61" s="163" t="s">
        <v>30</v>
      </c>
      <c r="F61" s="163" t="s">
        <v>30</v>
      </c>
      <c r="G61" s="163" t="s">
        <v>30</v>
      </c>
      <c r="H61" s="163" t="s">
        <v>30</v>
      </c>
      <c r="I61" s="163" t="s">
        <v>30</v>
      </c>
      <c r="J61" s="163" t="s">
        <v>30</v>
      </c>
      <c r="K61" s="163" t="s">
        <v>30</v>
      </c>
      <c r="L61" s="161"/>
      <c r="M61" s="190">
        <f t="shared" ca="1" si="0"/>
        <v>0</v>
      </c>
      <c r="N61" s="191">
        <f t="shared" ca="1" si="1"/>
        <v>0</v>
      </c>
      <c r="O61" s="192" t="str">
        <f t="shared" si="10"/>
        <v>-</v>
      </c>
      <c r="P61" s="193" t="str">
        <f t="shared" si="3"/>
        <v>-</v>
      </c>
      <c r="Q61" s="128"/>
      <c r="S61" s="127">
        <f>IF(E61="SCh",1,0)</f>
        <v>0</v>
      </c>
      <c r="T61" s="127" t="str">
        <f t="shared" si="9"/>
        <v>special</v>
      </c>
      <c r="U61" s="127">
        <f t="shared" ca="1" si="8"/>
        <v>0</v>
      </c>
      <c r="V61" s="127">
        <f t="shared" ca="1" si="4"/>
        <v>0</v>
      </c>
      <c r="W61" s="126">
        <f t="shared" si="5"/>
        <v>0</v>
      </c>
      <c r="X61" s="127">
        <f t="shared" si="6"/>
        <v>0</v>
      </c>
    </row>
    <row r="62" spans="1:252" ht="5.25" customHeight="1">
      <c r="A62" s="123"/>
      <c r="B62" s="128"/>
      <c r="C62" s="150"/>
      <c r="D62" s="151"/>
      <c r="E62" s="151"/>
      <c r="F62" s="151"/>
      <c r="G62" s="151"/>
      <c r="H62" s="151"/>
      <c r="I62" s="151"/>
      <c r="J62" s="151"/>
      <c r="K62" s="151"/>
      <c r="L62" s="151"/>
      <c r="M62" s="128"/>
      <c r="N62" s="128"/>
      <c r="O62" s="128"/>
      <c r="P62" s="547" t="s">
        <v>1249</v>
      </c>
      <c r="Q62" s="128"/>
      <c r="R62" s="126"/>
    </row>
    <row r="63" spans="1:252" ht="11.25" hidden="1" customHeight="1"/>
    <row r="64" spans="1:252" ht="11.25" hidden="1" customHeight="1"/>
    <row r="65" ht="11.25" hidden="1" customHeight="1"/>
    <row r="66" ht="11.25" hidden="1" customHeight="1"/>
    <row r="67" ht="11.25" hidden="1" customHeight="1"/>
    <row r="68" ht="11.25" hidden="1" customHeight="1"/>
    <row r="69" ht="11.25" hidden="1" customHeight="1"/>
    <row r="70" ht="11.25" hidden="1" customHeight="1"/>
    <row r="71" ht="11.25" hidden="1" customHeight="1"/>
    <row r="72" ht="11.25" hidden="1" customHeight="1"/>
    <row r="73" ht="11.25" hidden="1" customHeight="1"/>
    <row r="74" ht="11.25" hidden="1" customHeight="1"/>
    <row r="75" ht="11.25" hidden="1" customHeight="1"/>
    <row r="76" ht="11.25" hidden="1" customHeight="1"/>
    <row r="77" ht="11.25" hidden="1" customHeight="1"/>
    <row r="78" ht="11.25" hidden="1" customHeight="1"/>
    <row r="79" ht="11.25" hidden="1" customHeight="1"/>
    <row r="80" ht="11.25" hidden="1" customHeight="1"/>
    <row r="81" ht="11.25" hidden="1" customHeight="1"/>
    <row r="82" ht="11.25" hidden="1" customHeight="1"/>
    <row r="83" ht="11.25" hidden="1" customHeight="1"/>
    <row r="84" ht="11.25" hidden="1" customHeight="1"/>
    <row r="85" ht="11.25" hidden="1" customHeight="1"/>
    <row r="86" ht="11.25" hidden="1" customHeight="1"/>
    <row r="87" ht="11.25" hidden="1" customHeight="1"/>
    <row r="88" ht="11.25" hidden="1" customHeight="1"/>
    <row r="89" ht="11.25" hidden="1" customHeight="1"/>
    <row r="90" ht="11.25" hidden="1" customHeight="1"/>
    <row r="91" ht="13.5" hidden="1" customHeight="1"/>
  </sheetData>
  <sheetProtection password="CC53" sheet="1" objects="1" scenarios="1" selectLockedCells="1" sort="0" autoFilter="0"/>
  <protectedRanges>
    <protectedRange sqref="C22:L61" name="Range1"/>
  </protectedRanges>
  <autoFilter ref="C22:L61">
    <sortState ref="C23:L61">
      <sortCondition ref="C22:C61"/>
    </sortState>
  </autoFilter>
  <mergeCells count="57">
    <mergeCell ref="D11:E11"/>
    <mergeCell ref="D12:E12"/>
    <mergeCell ref="F4:F12"/>
    <mergeCell ref="D4:E4"/>
    <mergeCell ref="D7:E7"/>
    <mergeCell ref="D8:E8"/>
    <mergeCell ref="D6:E6"/>
    <mergeCell ref="D9:E9"/>
    <mergeCell ref="D10:E10"/>
    <mergeCell ref="B2:Q2"/>
    <mergeCell ref="C3:P3"/>
    <mergeCell ref="G7:I7"/>
    <mergeCell ref="L5:O5"/>
    <mergeCell ref="L6:O6"/>
    <mergeCell ref="L7:O7"/>
    <mergeCell ref="L4:O4"/>
    <mergeCell ref="D5:E5"/>
    <mergeCell ref="C4:C12"/>
    <mergeCell ref="S21:T21"/>
    <mergeCell ref="O21:P21"/>
    <mergeCell ref="E21:H21"/>
    <mergeCell ref="I21:K21"/>
    <mergeCell ref="J15:K15"/>
    <mergeCell ref="J16:K16"/>
    <mergeCell ref="J17:K17"/>
    <mergeCell ref="H18:I18"/>
    <mergeCell ref="H15:I15"/>
    <mergeCell ref="M21:N21"/>
    <mergeCell ref="C20:P20"/>
    <mergeCell ref="O14:P15"/>
    <mergeCell ref="O16:P19"/>
    <mergeCell ref="C14:G14"/>
    <mergeCell ref="H14:N14"/>
    <mergeCell ref="C15:E15"/>
    <mergeCell ref="L11:O11"/>
    <mergeCell ref="L12:O12"/>
    <mergeCell ref="L8:O8"/>
    <mergeCell ref="K4:K12"/>
    <mergeCell ref="G4:J4"/>
    <mergeCell ref="G5:I5"/>
    <mergeCell ref="G6:I6"/>
    <mergeCell ref="G11:J11"/>
    <mergeCell ref="N9:O9"/>
    <mergeCell ref="N10:O10"/>
    <mergeCell ref="G8:I8"/>
    <mergeCell ref="G9:J9"/>
    <mergeCell ref="H16:I16"/>
    <mergeCell ref="J19:K19"/>
    <mergeCell ref="H17:I17"/>
    <mergeCell ref="H19:I19"/>
    <mergeCell ref="J18:K18"/>
    <mergeCell ref="C16:E17"/>
    <mergeCell ref="C18:E19"/>
    <mergeCell ref="F16:F17"/>
    <mergeCell ref="F18:F19"/>
    <mergeCell ref="G16:G17"/>
    <mergeCell ref="G18:G19"/>
  </mergeCells>
  <phoneticPr fontId="0" type="noConversion"/>
  <dataValidations count="14">
    <dataValidation type="list" allowBlank="1" showInputMessage="1" showErrorMessage="1" sqref="I23:I61">
      <formula1>IF(E23="cv",CavMiss,IF(E23="ct",CatMiss,IF(OR(E23="hf",E23="-",E23="kn",E23="ct",E23="el",E23="SCh",E23="lart",E23="hart"),NoType,IF(OR(E23="LCh",E23="Hch",E23="LH"),LHMiss,FootMiss))))</formula1>
    </dataValidation>
    <dataValidation type="list" allowBlank="1" showInputMessage="1" showErrorMessage="1" sqref="G23:G61">
      <formula1>IF(E23="-",NoType,IF(E23="el",ElQual,IF(E23="mob",MobQual,IF(OR(E23="sch",E23="lart",E23="hart"),AvQual,AllQual))))</formula1>
    </dataValidation>
    <dataValidation type="list" allowBlank="1" showInputMessage="1" showErrorMessage="1" sqref="H23:H61">
      <formula1>IF(OR(E23="el",E23="mob",E23="sch"),Undrilled,Training)</formula1>
    </dataValidation>
    <dataValidation type="list" allowBlank="1" showInputMessage="1" showErrorMessage="1" sqref="F23:F61">
      <formula1>IF(OR(E23="-",E23="lch",E23="hch",E23="sch",E23="el",E23="hart",E23="lart",E23="bwg"),NoType,IF(E23="CT",CatArmr,IF(E23="kn",KnArmr,IF(OR(E23="cv",E23="LH",E23="LF",E23="mob"),CavArmr,AllArmour))))</formula1>
    </dataValidation>
    <dataValidation type="list" allowBlank="1" showInputMessage="1" showErrorMessage="1" sqref="J23:J61">
      <formula1>IF(OR(E23="el",E23="sch",E23="lart",E23="hart"),NoType,IF(OR(E23="cv",E23="lh"),CavWpn,IF(E23="bwg",BWGWpn,IF(OR(E23="lch",E23="hch"),ChWpn,IF(OR(E23="kn",E23="ct"),KnWpn,footWpn)))))</formula1>
    </dataValidation>
    <dataValidation type="list" allowBlank="1" showInputMessage="1" showErrorMessage="1" sqref="G10:J10">
      <formula1>Terrain</formula1>
    </dataValidation>
    <dataValidation type="list" allowBlank="1" showInputMessage="1" showErrorMessage="1" sqref="L12">
      <formula1>Language_choices</formula1>
    </dataValidation>
    <dataValidation type="list" allowBlank="1" showInputMessage="1" showErrorMessage="1" sqref="L17:L19">
      <formula1>Ally</formula1>
    </dataValidation>
    <dataValidation type="list" allowBlank="1" showInputMessage="1" showErrorMessage="1" sqref="K23:K61">
      <formula1>Divers</formula1>
    </dataValidation>
    <dataValidation type="list" allowBlank="1" showInputMessage="1" showErrorMessage="1" sqref="E23:E61">
      <formula1>Type</formula1>
    </dataValidation>
    <dataValidation type="list" allowBlank="1" showInputMessage="1" showErrorMessage="1" sqref="K13:L13">
      <formula1>camp</formula1>
    </dataValidation>
    <dataValidation type="list" allowBlank="1" showInputMessage="1" showErrorMessage="1" sqref="F16">
      <formula1>"0,1"</formula1>
    </dataValidation>
    <dataValidation type="list" allowBlank="1" showInputMessage="1" showErrorMessage="1" sqref="J17:K19">
      <formula1>"Field,Troop,-"</formula1>
    </dataValidation>
    <dataValidation type="list" allowBlank="1" showInputMessage="1" showErrorMessage="1" sqref="J16:K16">
      <formula1>"Inspired,Field,Troop,-"</formula1>
    </dataValidation>
  </dataValidations>
  <printOptions horizontalCentered="1" verticalCentered="1"/>
  <pageMargins left="0.196850393700787" right="0.196850393700787" top="0.196850393700787" bottom="0.55118110236220497" header="0" footer="0.118110236220472"/>
  <pageSetup paperSize="9" scale="38" orientation="landscape" r:id="rId1"/>
  <headerFooter>
    <oddFooter>&amp;LThanks to: Richlove &amp; Olivier&amp;C&amp;F&amp;R
&amp;D</oddFooter>
  </headerFooter>
  <ignoredErrors>
    <ignoredError sqref="M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J126"/>
  <sheetViews>
    <sheetView topLeftCell="A14" workbookViewId="0">
      <selection activeCell="J52" sqref="J52"/>
    </sheetView>
  </sheetViews>
  <sheetFormatPr defaultRowHeight="12.75" customHeight="1"/>
  <cols>
    <col min="1" max="1" width="18.140625" style="131" bestFit="1" customWidth="1"/>
    <col min="2" max="2" width="21.42578125" style="131" bestFit="1" customWidth="1"/>
    <col min="3" max="3" width="5.85546875" style="131" bestFit="1" customWidth="1"/>
    <col min="4" max="4" width="16.28515625" style="131" bestFit="1" customWidth="1"/>
    <col min="5" max="5" width="9.85546875" style="131" bestFit="1" customWidth="1"/>
    <col min="6" max="6" width="8.5703125" style="131" bestFit="1" customWidth="1"/>
    <col min="7" max="7" width="13.5703125" style="131" bestFit="1" customWidth="1"/>
    <col min="8" max="8" width="11.28515625" style="131" bestFit="1" customWidth="1"/>
    <col min="9" max="9" width="4.85546875" style="131" bestFit="1" customWidth="1"/>
    <col min="10" max="10" width="28" style="199" bestFit="1" customWidth="1"/>
    <col min="11" max="11" width="3.42578125" style="200" bestFit="1" customWidth="1"/>
    <col min="12" max="12" width="11" style="131" bestFit="1" customWidth="1"/>
    <col min="13" max="13" width="17.140625" style="131" bestFit="1" customWidth="1"/>
    <col min="14" max="14" width="7.7109375" style="131" bestFit="1" customWidth="1"/>
    <col min="15" max="15" width="2.5703125" style="131" bestFit="1" customWidth="1"/>
    <col min="16" max="16" width="3" style="131" bestFit="1" customWidth="1"/>
    <col min="17" max="17" width="37.140625" style="131" bestFit="1" customWidth="1"/>
    <col min="18" max="18" width="19.7109375" style="199" customWidth="1"/>
    <col min="19" max="19" width="3.7109375" style="131" bestFit="1" customWidth="1"/>
    <col min="20" max="20" width="15.28515625" style="131" customWidth="1"/>
    <col min="21" max="28" width="3.7109375" style="131" bestFit="1" customWidth="1"/>
    <col min="29" max="29" width="9.5703125" style="131" customWidth="1"/>
    <col min="30" max="30" width="11.28515625" style="131" customWidth="1"/>
    <col min="31" max="31" width="11" style="131" bestFit="1" customWidth="1"/>
    <col min="32" max="32" width="36.7109375" style="203" bestFit="1" customWidth="1"/>
    <col min="33" max="54" width="13" style="131" bestFit="1" customWidth="1"/>
    <col min="55" max="55" width="3.42578125" style="131" bestFit="1" customWidth="1"/>
    <col min="56" max="60" width="11.42578125" style="131" customWidth="1"/>
    <col min="61" max="61" width="7" style="131" bestFit="1" customWidth="1"/>
    <col min="62" max="62" width="7.28515625" style="131" bestFit="1" customWidth="1"/>
    <col min="63" max="63" width="13" style="131" customWidth="1"/>
    <col min="64" max="64" width="4.42578125" style="131" customWidth="1"/>
    <col min="65" max="65" width="7.7109375" style="131" bestFit="1" customWidth="1"/>
    <col min="66" max="66" width="4" style="131" customWidth="1"/>
    <col min="67" max="67" width="11.42578125" style="131" customWidth="1"/>
    <col min="68" max="68" width="21.42578125" style="131" bestFit="1" customWidth="1"/>
    <col min="69" max="69" width="2" style="131" bestFit="1" customWidth="1"/>
    <col min="70" max="70" width="2.28515625" style="131" bestFit="1" customWidth="1"/>
    <col min="71" max="71" width="14.5703125" style="131" bestFit="1" customWidth="1"/>
    <col min="72" max="72" width="34.5703125" style="131" bestFit="1" customWidth="1"/>
    <col min="73" max="77" width="36.140625" style="131" bestFit="1" customWidth="1"/>
    <col min="78" max="81" width="32.42578125" style="131" bestFit="1" customWidth="1"/>
    <col min="82" max="82" width="23.28515625" style="131" bestFit="1" customWidth="1"/>
    <col min="83" max="84" width="22.42578125" style="131" bestFit="1" customWidth="1"/>
    <col min="85" max="87" width="28.7109375" style="131" bestFit="1" customWidth="1"/>
    <col min="88" max="91" width="35.5703125" style="131" bestFit="1" customWidth="1"/>
    <col min="92" max="98" width="34.85546875" style="131" bestFit="1" customWidth="1"/>
    <col min="99" max="100" width="29.28515625" style="131" bestFit="1" customWidth="1"/>
    <col min="101" max="101" width="15.7109375" style="131" bestFit="1" customWidth="1"/>
    <col min="102" max="102" width="21" style="131" bestFit="1" customWidth="1"/>
    <col min="103" max="104" width="22.5703125" style="131" bestFit="1" customWidth="1"/>
    <col min="105" max="107" width="25.42578125" style="131" bestFit="1" customWidth="1"/>
    <col min="108" max="109" width="22.28515625" style="131" bestFit="1" customWidth="1"/>
    <col min="110" max="114" width="53.85546875" style="131" bestFit="1" customWidth="1"/>
    <col min="115" max="115" width="27.140625" style="131" bestFit="1" customWidth="1"/>
    <col min="116" max="118" width="22.5703125" style="131" bestFit="1" customWidth="1"/>
    <col min="119" max="121" width="27.7109375" style="131" bestFit="1" customWidth="1"/>
    <col min="122" max="123" width="25.140625" style="131" bestFit="1" customWidth="1"/>
    <col min="124" max="125" width="50.5703125" style="131" bestFit="1" customWidth="1"/>
    <col min="126" max="126" width="70.5703125" style="131" bestFit="1" customWidth="1"/>
    <col min="127" max="128" width="69.140625" style="131" bestFit="1" customWidth="1"/>
    <col min="129" max="130" width="53.7109375" style="131" bestFit="1" customWidth="1"/>
    <col min="131" max="133" width="33.7109375" style="131" bestFit="1" customWidth="1"/>
    <col min="134" max="134" width="31.140625" style="131" bestFit="1" customWidth="1"/>
    <col min="135" max="135" width="20.7109375" style="131" bestFit="1" customWidth="1"/>
    <col min="136" max="138" width="18.7109375" style="131" bestFit="1" customWidth="1"/>
    <col min="139" max="139" width="19.7109375" style="131" bestFit="1" customWidth="1"/>
    <col min="140" max="143" width="22.5703125" style="131" bestFit="1" customWidth="1"/>
    <col min="144" max="144" width="31.5703125" style="131" bestFit="1" customWidth="1"/>
    <col min="145" max="145" width="32" style="131" customWidth="1"/>
    <col min="146" max="148" width="31.5703125" style="131" bestFit="1" customWidth="1"/>
    <col min="149" max="149" width="30.5703125" style="131" bestFit="1" customWidth="1"/>
    <col min="150" max="150" width="39.28515625" style="131" bestFit="1" customWidth="1"/>
    <col min="151" max="152" width="37.85546875" style="131" bestFit="1" customWidth="1"/>
    <col min="153" max="156" width="22.28515625" style="131" bestFit="1" customWidth="1"/>
    <col min="157" max="157" width="22.7109375" style="131" bestFit="1" customWidth="1"/>
    <col min="158" max="160" width="3.42578125" style="131" bestFit="1" customWidth="1"/>
    <col min="161" max="161" width="12.140625" style="131" bestFit="1" customWidth="1"/>
    <col min="162" max="164" width="19.140625" style="131" bestFit="1" customWidth="1"/>
    <col min="165" max="165" width="14.28515625" style="131" bestFit="1" customWidth="1"/>
    <col min="166" max="166" width="17.85546875" style="131" bestFit="1" customWidth="1"/>
    <col min="167" max="168" width="17.140625" style="131" bestFit="1" customWidth="1"/>
    <col min="169" max="171" width="14.5703125" style="131" bestFit="1" customWidth="1"/>
    <col min="172" max="175" width="19.85546875" style="131" bestFit="1" customWidth="1"/>
    <col min="176" max="178" width="14.140625" style="131" bestFit="1" customWidth="1"/>
    <col min="179" max="181" width="14.28515625" style="131" bestFit="1" customWidth="1"/>
    <col min="182" max="184" width="23.85546875" style="131" bestFit="1" customWidth="1"/>
    <col min="185" max="190" width="30.5703125" style="131" bestFit="1" customWidth="1"/>
    <col min="191" max="191" width="11.7109375" style="131" customWidth="1"/>
    <col min="192" max="196" width="15.42578125" style="131" bestFit="1" customWidth="1"/>
    <col min="197" max="197" width="22.140625" style="131" bestFit="1" customWidth="1"/>
    <col min="198" max="198" width="12" style="131" customWidth="1"/>
    <col min="199" max="199" width="22.140625" style="131" bestFit="1" customWidth="1"/>
    <col min="200" max="202" width="25.5703125" style="131" bestFit="1" customWidth="1"/>
    <col min="203" max="207" width="12.5703125" style="131" bestFit="1" customWidth="1"/>
    <col min="208" max="208" width="16.28515625" style="131" bestFit="1" customWidth="1"/>
    <col min="209" max="209" width="11.7109375" style="131" customWidth="1"/>
    <col min="210" max="210" width="16.28515625" style="131" bestFit="1" customWidth="1"/>
    <col min="211" max="217" width="12.28515625" style="131" bestFit="1" customWidth="1"/>
    <col min="218" max="256" width="11.42578125" style="131" customWidth="1"/>
    <col min="257" max="16384" width="9.140625" style="131"/>
  </cols>
  <sheetData>
    <row r="1" spans="1:218" ht="12.75" customHeight="1">
      <c r="A1" s="131" t="s">
        <v>57</v>
      </c>
      <c r="B1" s="131" t="str">
        <f>"Traduction!$A$1:"&amp;ADDRESS(COUNTA(Traduction!A:A),COUNTA(Language_choices),1,TRUE)</f>
        <v>Traduction!$A$1:$E$112</v>
      </c>
      <c r="J1" s="131"/>
      <c r="K1" s="199"/>
      <c r="L1" s="200"/>
      <c r="Q1" s="201" t="s">
        <v>34</v>
      </c>
      <c r="R1" s="202"/>
    </row>
    <row r="2" spans="1:218" ht="12.75" customHeight="1">
      <c r="A2" s="131" t="s">
        <v>58</v>
      </c>
      <c r="B2" s="127" t="s">
        <v>71</v>
      </c>
      <c r="Q2" s="204" t="str">
        <f ca="1">CONCATENATE("BWG"," ",VLOOKUP("Heavy weapon",Zone_Traduction,ref_langue,FALSE))</f>
        <v>BWG Heavy Weapon</v>
      </c>
      <c r="R2" s="205">
        <v>6</v>
      </c>
      <c r="AG2" s="131">
        <v>1</v>
      </c>
      <c r="AH2" s="131">
        <v>2</v>
      </c>
      <c r="AI2" s="131">
        <v>3</v>
      </c>
      <c r="AJ2" s="131">
        <v>4</v>
      </c>
      <c r="AK2" s="131">
        <v>5</v>
      </c>
      <c r="AL2" s="131">
        <v>6</v>
      </c>
      <c r="AM2" s="131">
        <v>7</v>
      </c>
      <c r="AN2" s="131">
        <v>8</v>
      </c>
      <c r="AO2" s="131">
        <v>9</v>
      </c>
      <c r="AP2" s="131">
        <v>10</v>
      </c>
      <c r="AQ2" s="131">
        <v>11</v>
      </c>
      <c r="AR2" s="131">
        <v>12</v>
      </c>
      <c r="AS2" s="131">
        <v>13</v>
      </c>
      <c r="AT2" s="131">
        <v>14</v>
      </c>
      <c r="AU2" s="131">
        <v>15</v>
      </c>
      <c r="AV2" s="131">
        <v>16</v>
      </c>
      <c r="AW2" s="131">
        <v>17</v>
      </c>
      <c r="AX2" s="131">
        <v>18</v>
      </c>
      <c r="AY2" s="131">
        <v>19</v>
      </c>
      <c r="AZ2" s="131">
        <v>20</v>
      </c>
      <c r="BA2" s="131">
        <v>21</v>
      </c>
      <c r="BB2" s="131">
        <v>22</v>
      </c>
      <c r="BC2" s="131">
        <v>23</v>
      </c>
      <c r="BP2" s="206" t="s">
        <v>395</v>
      </c>
      <c r="BQ2" s="207" t="s">
        <v>30</v>
      </c>
      <c r="BR2" s="208">
        <v>3</v>
      </c>
      <c r="BS2" s="208">
        <v>4</v>
      </c>
      <c r="BT2" s="208">
        <v>5</v>
      </c>
      <c r="BU2" s="208">
        <v>6</v>
      </c>
      <c r="BV2" s="208">
        <v>7</v>
      </c>
      <c r="BW2" s="208">
        <v>8</v>
      </c>
      <c r="BX2" s="208">
        <v>9</v>
      </c>
      <c r="BY2" s="208">
        <v>10</v>
      </c>
      <c r="BZ2" s="208">
        <v>11</v>
      </c>
      <c r="CA2" s="208">
        <v>12</v>
      </c>
      <c r="CB2" s="208">
        <v>13</v>
      </c>
      <c r="CC2" s="208">
        <v>14</v>
      </c>
      <c r="CD2" s="208">
        <v>15</v>
      </c>
      <c r="CE2" s="208">
        <v>16</v>
      </c>
      <c r="CF2" s="208">
        <v>17</v>
      </c>
      <c r="CG2" s="208">
        <v>18</v>
      </c>
      <c r="CH2" s="208">
        <v>19</v>
      </c>
      <c r="CI2" s="208">
        <v>20</v>
      </c>
      <c r="CJ2" s="208">
        <v>21</v>
      </c>
      <c r="CK2" s="208">
        <v>22</v>
      </c>
      <c r="CL2" s="208">
        <v>23</v>
      </c>
      <c r="CM2" s="208">
        <v>24</v>
      </c>
      <c r="CN2" s="208">
        <v>25</v>
      </c>
      <c r="CO2" s="208">
        <v>26</v>
      </c>
      <c r="CP2" s="208">
        <v>27</v>
      </c>
      <c r="CQ2" s="208">
        <v>28</v>
      </c>
      <c r="CR2" s="208">
        <v>29</v>
      </c>
      <c r="CS2" s="208">
        <v>30</v>
      </c>
      <c r="CT2" s="208">
        <v>31</v>
      </c>
      <c r="CU2" s="208">
        <v>32</v>
      </c>
      <c r="CV2" s="208">
        <v>33</v>
      </c>
      <c r="CW2" s="208">
        <v>34</v>
      </c>
      <c r="CX2" s="208">
        <v>35</v>
      </c>
      <c r="CY2" s="208">
        <v>36</v>
      </c>
      <c r="CZ2" s="208">
        <v>37</v>
      </c>
      <c r="DA2" s="208">
        <v>38</v>
      </c>
      <c r="DB2" s="208">
        <v>39</v>
      </c>
      <c r="DC2" s="208">
        <v>40</v>
      </c>
      <c r="DD2" s="208">
        <v>41</v>
      </c>
      <c r="DE2" s="208">
        <v>42</v>
      </c>
      <c r="DF2" s="208">
        <v>43</v>
      </c>
      <c r="DG2" s="208">
        <v>44</v>
      </c>
      <c r="DH2" s="208">
        <v>45</v>
      </c>
      <c r="DI2" s="208">
        <v>46</v>
      </c>
      <c r="DJ2" s="208">
        <v>47</v>
      </c>
      <c r="DK2" s="208">
        <v>48</v>
      </c>
      <c r="DL2" s="208">
        <v>49</v>
      </c>
      <c r="DM2" s="208">
        <v>50</v>
      </c>
      <c r="DN2" s="208">
        <v>51</v>
      </c>
      <c r="DO2" s="208">
        <v>52</v>
      </c>
      <c r="DP2" s="208">
        <v>53</v>
      </c>
      <c r="DQ2" s="208">
        <v>54</v>
      </c>
      <c r="DR2" s="208">
        <v>55</v>
      </c>
      <c r="DS2" s="208">
        <v>56</v>
      </c>
      <c r="DT2" s="208">
        <v>57</v>
      </c>
      <c r="DU2" s="208">
        <v>58</v>
      </c>
      <c r="DV2" s="208">
        <v>59</v>
      </c>
      <c r="DW2" s="208">
        <v>60</v>
      </c>
      <c r="DX2" s="208">
        <v>61</v>
      </c>
      <c r="DY2" s="208">
        <v>62</v>
      </c>
      <c r="DZ2" s="208">
        <v>63</v>
      </c>
      <c r="EA2" s="208">
        <v>64</v>
      </c>
      <c r="EB2" s="208">
        <v>65</v>
      </c>
      <c r="EC2" s="208">
        <v>66</v>
      </c>
      <c r="ED2" s="208">
        <v>67</v>
      </c>
      <c r="EE2" s="208">
        <v>68</v>
      </c>
      <c r="EF2" s="208">
        <v>69</v>
      </c>
      <c r="EG2" s="208">
        <v>70</v>
      </c>
      <c r="EH2" s="208">
        <v>71</v>
      </c>
      <c r="EI2" s="208">
        <v>72</v>
      </c>
      <c r="EJ2" s="208">
        <v>73</v>
      </c>
      <c r="EK2" s="208">
        <v>74</v>
      </c>
      <c r="EL2" s="208">
        <v>75</v>
      </c>
      <c r="EM2" s="208">
        <v>76</v>
      </c>
      <c r="EN2" s="208">
        <v>77</v>
      </c>
      <c r="EO2" s="208">
        <v>78</v>
      </c>
      <c r="EP2" s="208">
        <v>79</v>
      </c>
      <c r="EQ2" s="208">
        <v>80</v>
      </c>
      <c r="ER2" s="208">
        <v>81</v>
      </c>
      <c r="ES2" s="208">
        <v>82</v>
      </c>
      <c r="ET2" s="208">
        <v>83</v>
      </c>
      <c r="EU2" s="208">
        <v>84</v>
      </c>
      <c r="EV2" s="209">
        <v>85</v>
      </c>
      <c r="EW2" s="208">
        <v>86</v>
      </c>
      <c r="EX2" s="209">
        <v>87</v>
      </c>
      <c r="EY2" s="208">
        <v>88</v>
      </c>
      <c r="EZ2" s="209">
        <v>89</v>
      </c>
      <c r="FA2" s="208">
        <v>90</v>
      </c>
      <c r="FB2" s="209">
        <v>91</v>
      </c>
      <c r="FC2" s="208">
        <v>92</v>
      </c>
      <c r="FD2" s="209">
        <v>93</v>
      </c>
      <c r="FE2" s="208">
        <v>94</v>
      </c>
      <c r="FF2" s="208">
        <v>95</v>
      </c>
      <c r="FG2" s="209">
        <v>96</v>
      </c>
      <c r="FH2" s="208">
        <v>97</v>
      </c>
      <c r="FI2" s="209">
        <v>98</v>
      </c>
      <c r="FJ2" s="208">
        <v>99</v>
      </c>
      <c r="FK2" s="209">
        <v>100</v>
      </c>
      <c r="FL2" s="208">
        <v>101</v>
      </c>
      <c r="FM2" s="209">
        <v>102</v>
      </c>
      <c r="FN2" s="208">
        <v>103</v>
      </c>
      <c r="FO2" s="209">
        <v>104</v>
      </c>
      <c r="FP2" s="208">
        <v>105</v>
      </c>
      <c r="FQ2" s="208">
        <v>106</v>
      </c>
      <c r="FR2" s="209">
        <v>107</v>
      </c>
      <c r="FS2" s="208">
        <v>108</v>
      </c>
      <c r="FT2" s="209">
        <v>109</v>
      </c>
      <c r="FU2" s="208">
        <v>110</v>
      </c>
      <c r="FV2" s="209">
        <v>111</v>
      </c>
      <c r="FW2" s="208">
        <v>112</v>
      </c>
      <c r="FX2" s="209">
        <v>113</v>
      </c>
      <c r="FY2" s="208">
        <v>114</v>
      </c>
      <c r="FZ2" s="209">
        <v>115</v>
      </c>
      <c r="GA2" s="208">
        <v>116</v>
      </c>
      <c r="GB2" s="209">
        <v>117</v>
      </c>
      <c r="GC2" s="208">
        <v>118</v>
      </c>
      <c r="GD2" s="209">
        <v>119</v>
      </c>
      <c r="GE2" s="208">
        <v>120</v>
      </c>
      <c r="GF2" s="209">
        <v>121</v>
      </c>
      <c r="GG2" s="208">
        <v>122</v>
      </c>
      <c r="GH2" s="209">
        <v>123</v>
      </c>
      <c r="GI2" s="208">
        <v>124</v>
      </c>
      <c r="GJ2" s="209">
        <v>125</v>
      </c>
      <c r="GK2" s="208">
        <v>126</v>
      </c>
      <c r="GL2" s="209">
        <v>127</v>
      </c>
      <c r="GM2" s="208">
        <v>128</v>
      </c>
      <c r="GN2" s="209">
        <v>129</v>
      </c>
      <c r="GO2" s="208">
        <v>130</v>
      </c>
      <c r="GP2" s="209">
        <v>131</v>
      </c>
      <c r="GQ2" s="208">
        <v>132</v>
      </c>
      <c r="GR2" s="209">
        <v>133</v>
      </c>
      <c r="GS2" s="208">
        <v>134</v>
      </c>
      <c r="GT2" s="209">
        <v>135</v>
      </c>
      <c r="GU2" s="208">
        <v>136</v>
      </c>
      <c r="GV2" s="209">
        <v>137</v>
      </c>
      <c r="GW2" s="208">
        <v>138</v>
      </c>
      <c r="GX2" s="209">
        <v>139</v>
      </c>
      <c r="GY2" s="208">
        <v>140</v>
      </c>
      <c r="GZ2" s="209">
        <v>141</v>
      </c>
      <c r="HA2" s="208">
        <v>142</v>
      </c>
      <c r="HB2" s="209">
        <v>143</v>
      </c>
      <c r="HC2" s="208">
        <v>144</v>
      </c>
      <c r="HD2" s="209">
        <v>145</v>
      </c>
      <c r="HE2" s="208">
        <v>146</v>
      </c>
      <c r="HF2" s="209">
        <v>147</v>
      </c>
      <c r="HG2" s="208">
        <v>148</v>
      </c>
      <c r="HH2" s="209">
        <v>149</v>
      </c>
      <c r="HI2" s="208">
        <v>150</v>
      </c>
      <c r="HJ2" s="209">
        <v>151</v>
      </c>
    </row>
    <row r="3" spans="1:218" ht="12.75" customHeight="1">
      <c r="B3" s="210"/>
      <c r="C3" s="17" t="str">
        <f ca="1">VLOOKUP("Elite",Zone_Traduction,ref_langue,FALSE)</f>
        <v>Elite</v>
      </c>
      <c r="D3" s="17" t="str">
        <f ca="1">VLOOKUP("Superior",Zone_Traduction,ref_langue,FALSE)</f>
        <v>Superior</v>
      </c>
      <c r="E3" s="17" t="str">
        <f ca="1">VLOOKUP("Average",Zone_Traduction,ref_langue,FALSE)</f>
        <v>Average</v>
      </c>
      <c r="F3" s="17" t="str">
        <f ca="1">VLOOKUP("Poor",Zone_Traduction,ref_langue,FALSE)</f>
        <v>Poor</v>
      </c>
      <c r="G3" s="17" t="str">
        <f ca="1">VLOOKUP("Drilled",Zone_Traduction,ref_langue,FALSE)</f>
        <v>Drilled</v>
      </c>
      <c r="H3" s="211" t="s">
        <v>30</v>
      </c>
      <c r="Q3" s="204" t="str">
        <f ca="1">CONCATENATE("BWG"," ",VLOOKUP("Swordsmen",Zone_Traduction,ref_langue,FALSE))</f>
        <v>BWG Swordsmen</v>
      </c>
      <c r="R3" s="205">
        <v>3</v>
      </c>
      <c r="AF3" s="203">
        <v>1</v>
      </c>
      <c r="AG3" s="131">
        <v>10</v>
      </c>
      <c r="BK3" s="126">
        <f>IF('Liste Armée'!$L16="CinC",VLOOKUP('Liste Armée'!$J16,table_general,2,FALSE),0)</f>
        <v>0</v>
      </c>
      <c r="BP3" s="212" t="s">
        <v>30</v>
      </c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21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213"/>
    </row>
    <row r="4" spans="1:218" ht="12.75" customHeight="1">
      <c r="A4" s="200" t="s">
        <v>27</v>
      </c>
      <c r="B4" s="204" t="str">
        <f ca="1">CONCATENATE("HF"," ",VLOOKUP("Heavily armoured",Zone_Traduction,ref_langue,FALSE))</f>
        <v>HF Heavily Armoured</v>
      </c>
      <c r="C4" s="133">
        <v>16</v>
      </c>
      <c r="D4" s="133">
        <v>13</v>
      </c>
      <c r="E4" s="133">
        <v>9</v>
      </c>
      <c r="F4" s="133"/>
      <c r="G4" s="133">
        <v>2</v>
      </c>
      <c r="H4" s="213">
        <v>0</v>
      </c>
      <c r="J4" s="214" t="s">
        <v>32</v>
      </c>
      <c r="K4" s="211"/>
      <c r="M4" s="131" t="s">
        <v>36</v>
      </c>
      <c r="Q4" s="204" t="str">
        <f ca="1">CONCATENATE("infanterie"," ",VLOOKUP("defensive spearmen",Zone_Traduction,ref_langue,FALSE))</f>
        <v>infanterie Defensive Spearmen</v>
      </c>
      <c r="R4" s="205">
        <v>1</v>
      </c>
      <c r="AF4" s="203">
        <v>2</v>
      </c>
      <c r="AG4" s="131">
        <f t="shared" ref="AG4:AN11" si="0">(AG$2/$AF4)*5</f>
        <v>2.5</v>
      </c>
      <c r="AH4" s="131">
        <v>10</v>
      </c>
      <c r="BP4" s="206" t="s">
        <v>545</v>
      </c>
      <c r="BQ4" s="215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21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213"/>
    </row>
    <row r="5" spans="1:218" ht="12.75" customHeight="1">
      <c r="A5" s="200" t="s">
        <v>27</v>
      </c>
      <c r="B5" s="204" t="str">
        <f ca="1">CONCATENATE("HF"," ",VLOOKUP("Armoured",Zone_Traduction,ref_langue,FALSE))</f>
        <v>HF Armoured</v>
      </c>
      <c r="C5" s="133">
        <v>13</v>
      </c>
      <c r="D5" s="133">
        <v>11</v>
      </c>
      <c r="E5" s="133">
        <v>7</v>
      </c>
      <c r="F5" s="133">
        <v>5</v>
      </c>
      <c r="G5" s="133">
        <v>1</v>
      </c>
      <c r="H5" s="213">
        <v>0</v>
      </c>
      <c r="J5" s="204" t="str">
        <f ca="1">CONCATENATE("BWG"," ",VLOOKUP("Bow",Zone_Traduction,ref_langue,FALSE))</f>
        <v>BWG Bow</v>
      </c>
      <c r="K5" s="216">
        <v>3</v>
      </c>
      <c r="M5" s="16" t="str">
        <f ca="1">VLOOKUP("Camelry",Zone_Traduction,ref_langue,FALSE)</f>
        <v>Camelry</v>
      </c>
      <c r="N5" s="217">
        <v>2</v>
      </c>
      <c r="Q5" s="204" t="str">
        <f ca="1">CONCATENATE("infanterie"," ",VLOOKUP("Heavy weapon",Zone_Traduction,ref_langue,FALSE))</f>
        <v>infanterie Heavy Weapon</v>
      </c>
      <c r="R5" s="205">
        <v>2</v>
      </c>
      <c r="AF5" s="203">
        <v>3</v>
      </c>
      <c r="AG5" s="131">
        <f t="shared" si="0"/>
        <v>1.6666666666666665</v>
      </c>
      <c r="AH5" s="131">
        <f t="shared" si="0"/>
        <v>3.333333333333333</v>
      </c>
      <c r="AI5" s="131">
        <v>10</v>
      </c>
      <c r="BI5" s="127"/>
      <c r="BJ5" s="3"/>
      <c r="BK5" s="3"/>
      <c r="BL5" s="3"/>
      <c r="BM5" s="4">
        <f>SUM(BM13:BM38)</f>
        <v>0</v>
      </c>
      <c r="BN5" s="3"/>
      <c r="BP5" s="218" t="s">
        <v>350</v>
      </c>
      <c r="BQ5" s="133"/>
      <c r="BR5" s="133"/>
      <c r="BS5" s="133"/>
      <c r="BT5" s="133"/>
      <c r="BU5" s="219" t="s">
        <v>494</v>
      </c>
      <c r="BV5" s="219" t="s">
        <v>494</v>
      </c>
      <c r="BW5" s="219" t="s">
        <v>494</v>
      </c>
      <c r="BX5" s="219" t="s">
        <v>494</v>
      </c>
      <c r="BY5" s="219" t="s">
        <v>494</v>
      </c>
      <c r="BZ5" s="133" t="s">
        <v>495</v>
      </c>
      <c r="CA5" s="133" t="s">
        <v>495</v>
      </c>
      <c r="CB5" s="133" t="s">
        <v>496</v>
      </c>
      <c r="CC5" s="133" t="s">
        <v>496</v>
      </c>
      <c r="CD5" s="133" t="s">
        <v>497</v>
      </c>
      <c r="CE5" s="219" t="s">
        <v>498</v>
      </c>
      <c r="CF5" s="219" t="s">
        <v>498</v>
      </c>
      <c r="CG5" s="219" t="s">
        <v>499</v>
      </c>
      <c r="CH5" s="219" t="s">
        <v>499</v>
      </c>
      <c r="CI5" s="219" t="s">
        <v>500</v>
      </c>
      <c r="CJ5" s="219" t="s">
        <v>500</v>
      </c>
      <c r="CK5" s="133" t="s">
        <v>501</v>
      </c>
      <c r="CL5" s="133" t="s">
        <v>501</v>
      </c>
      <c r="CM5" s="133" t="s">
        <v>501</v>
      </c>
      <c r="CN5" s="133" t="s">
        <v>501</v>
      </c>
      <c r="CO5" s="133" t="s">
        <v>502</v>
      </c>
      <c r="CP5" s="133" t="s">
        <v>502</v>
      </c>
      <c r="CQ5" s="133" t="s">
        <v>503</v>
      </c>
      <c r="CR5" s="133" t="s">
        <v>503</v>
      </c>
      <c r="CS5" s="133" t="s">
        <v>504</v>
      </c>
      <c r="CT5" s="133" t="s">
        <v>504</v>
      </c>
      <c r="CU5" s="133" t="s">
        <v>505</v>
      </c>
      <c r="CV5" s="133" t="s">
        <v>505</v>
      </c>
      <c r="CW5" s="133" t="s">
        <v>505</v>
      </c>
      <c r="CX5" s="133" t="s">
        <v>505</v>
      </c>
      <c r="CY5" s="133" t="s">
        <v>506</v>
      </c>
      <c r="CZ5" s="133" t="s">
        <v>506</v>
      </c>
      <c r="DA5" s="219" t="s">
        <v>507</v>
      </c>
      <c r="DB5" s="219" t="s">
        <v>507</v>
      </c>
      <c r="DC5" s="219" t="s">
        <v>507</v>
      </c>
      <c r="DD5" s="219" t="s">
        <v>507</v>
      </c>
      <c r="DE5" s="219" t="s">
        <v>507</v>
      </c>
      <c r="DF5" s="133" t="s">
        <v>508</v>
      </c>
      <c r="DG5" s="133" t="s">
        <v>508</v>
      </c>
      <c r="DH5" s="133" t="s">
        <v>508</v>
      </c>
      <c r="DI5" s="133" t="s">
        <v>508</v>
      </c>
      <c r="DJ5" s="133" t="s">
        <v>508</v>
      </c>
      <c r="DK5" s="133" t="s">
        <v>509</v>
      </c>
      <c r="DL5" s="133" t="s">
        <v>509</v>
      </c>
      <c r="DM5" s="133" t="s">
        <v>509</v>
      </c>
      <c r="DN5" s="133" t="s">
        <v>509</v>
      </c>
      <c r="DO5" s="133" t="s">
        <v>509</v>
      </c>
      <c r="DP5" s="133" t="s">
        <v>509</v>
      </c>
      <c r="DQ5" s="133" t="s">
        <v>510</v>
      </c>
      <c r="DR5" s="133" t="s">
        <v>510</v>
      </c>
      <c r="DS5" s="133" t="s">
        <v>510</v>
      </c>
      <c r="DT5" s="133" t="s">
        <v>511</v>
      </c>
      <c r="DU5" s="133" t="s">
        <v>511</v>
      </c>
      <c r="DV5" s="133" t="s">
        <v>511</v>
      </c>
      <c r="DW5" s="133" t="s">
        <v>512</v>
      </c>
      <c r="DX5" s="133" t="s">
        <v>512</v>
      </c>
      <c r="DY5" s="133" t="s">
        <v>513</v>
      </c>
      <c r="DZ5" s="133" t="s">
        <v>513</v>
      </c>
      <c r="EA5" s="133" t="s">
        <v>513</v>
      </c>
      <c r="EB5" s="133" t="s">
        <v>513</v>
      </c>
      <c r="EC5" s="133" t="s">
        <v>514</v>
      </c>
      <c r="ED5" s="133" t="s">
        <v>514</v>
      </c>
      <c r="EE5" s="133" t="s">
        <v>514</v>
      </c>
      <c r="EF5" s="133" t="s">
        <v>515</v>
      </c>
      <c r="EG5" s="133" t="s">
        <v>515</v>
      </c>
      <c r="EH5" s="133" t="s">
        <v>515</v>
      </c>
      <c r="EI5" s="133" t="s">
        <v>516</v>
      </c>
      <c r="EJ5" s="133" t="s">
        <v>516</v>
      </c>
      <c r="EK5" s="133" t="s">
        <v>516</v>
      </c>
      <c r="EL5" s="220"/>
      <c r="EM5" s="220"/>
      <c r="EN5" s="220"/>
      <c r="EO5" s="220"/>
      <c r="EP5" s="220"/>
      <c r="EQ5" s="220"/>
      <c r="ER5" s="220"/>
      <c r="ES5" s="220"/>
      <c r="ET5" s="220"/>
      <c r="EU5" s="220"/>
      <c r="EV5" s="221"/>
      <c r="EW5" s="220"/>
      <c r="EX5" s="220"/>
      <c r="EY5" s="220"/>
      <c r="EZ5" s="220"/>
      <c r="FA5" s="220"/>
      <c r="FB5" s="220"/>
      <c r="FC5" s="220"/>
      <c r="FD5" s="220"/>
      <c r="FE5" s="220"/>
      <c r="FF5" s="220"/>
      <c r="FG5" s="220"/>
      <c r="FH5" s="220"/>
      <c r="FI5" s="220"/>
      <c r="FJ5" s="220"/>
      <c r="FK5" s="220"/>
      <c r="FL5" s="220"/>
      <c r="FM5" s="220"/>
      <c r="FN5" s="220"/>
      <c r="FO5" s="220"/>
      <c r="FP5" s="220"/>
      <c r="FQ5" s="220"/>
      <c r="FR5" s="220"/>
      <c r="FS5" s="220"/>
      <c r="FT5" s="220"/>
      <c r="FU5" s="220"/>
      <c r="FV5" s="220"/>
      <c r="FW5" s="220"/>
      <c r="FX5" s="220"/>
      <c r="FY5" s="220"/>
      <c r="FZ5" s="221"/>
      <c r="GA5" s="222"/>
      <c r="GB5" s="222"/>
      <c r="GC5" s="222"/>
      <c r="GD5" s="222"/>
      <c r="GE5" s="222"/>
    </row>
    <row r="6" spans="1:218" ht="12.75" customHeight="1">
      <c r="A6" s="200" t="s">
        <v>27</v>
      </c>
      <c r="B6" s="204" t="str">
        <f ca="1">CONCATENATE("HF"," ",VLOOKUP("Protected",Zone_Traduction,ref_langue,FALSE))</f>
        <v>HF Protected</v>
      </c>
      <c r="C6" s="133">
        <v>10</v>
      </c>
      <c r="D6" s="133">
        <v>8</v>
      </c>
      <c r="E6" s="133">
        <v>5</v>
      </c>
      <c r="F6" s="133">
        <v>3</v>
      </c>
      <c r="G6" s="133">
        <v>1</v>
      </c>
      <c r="H6" s="213">
        <v>0</v>
      </c>
      <c r="J6" s="204" t="str">
        <f ca="1">CONCATENATE("BWG"," ",VLOOKUP("Bw*",Zone_Traduction,ref_langue,FALSE))</f>
        <v>BWG Bw*</v>
      </c>
      <c r="K6" s="216">
        <v>3</v>
      </c>
      <c r="M6" s="41" t="str">
        <f ca="1">VLOOKUP("Port Def.",Zone_Traduction,ref_langue,FALSE)</f>
        <v>Port Def.</v>
      </c>
      <c r="N6" s="223">
        <v>1.5</v>
      </c>
      <c r="Q6" s="204" t="str">
        <f ca="1">CONCATENATE("infanterie"," ",VLOOKUP("Impact foot Skilled swordsmen",Zone_Traduction,ref_langue,FALSE))</f>
        <v>infanterie Impact Foot Skilled Swordsmen</v>
      </c>
      <c r="R6" s="205">
        <v>3</v>
      </c>
      <c r="AF6" s="203">
        <v>4</v>
      </c>
      <c r="AG6" s="131">
        <f t="shared" si="0"/>
        <v>1.25</v>
      </c>
      <c r="AH6" s="131">
        <f t="shared" si="0"/>
        <v>2.5</v>
      </c>
      <c r="AI6" s="131">
        <f t="shared" si="0"/>
        <v>3.75</v>
      </c>
      <c r="AJ6" s="131">
        <v>10</v>
      </c>
      <c r="BG6" s="127"/>
      <c r="BH6" s="127"/>
      <c r="BI6" s="127">
        <f ca="1">SUM(BI13:BI38)</f>
        <v>0</v>
      </c>
      <c r="BJ6" s="3"/>
      <c r="BK6" s="3"/>
      <c r="BL6" s="3"/>
      <c r="BM6" s="5">
        <f>BN7+BK3</f>
        <v>0</v>
      </c>
      <c r="BN6" s="3"/>
      <c r="BP6" s="206" t="s">
        <v>544</v>
      </c>
      <c r="BQ6" s="215"/>
      <c r="BR6" s="133"/>
      <c r="BS6" s="133"/>
      <c r="BT6" s="133"/>
      <c r="BU6" s="133"/>
      <c r="BV6" s="133"/>
      <c r="BW6" s="133"/>
      <c r="BX6" s="133" t="s">
        <v>1153</v>
      </c>
      <c r="BY6" s="133" t="s">
        <v>1153</v>
      </c>
      <c r="BZ6" s="133" t="s">
        <v>1153</v>
      </c>
      <c r="CA6" s="133" t="s">
        <v>1153</v>
      </c>
      <c r="CB6" s="133" t="s">
        <v>1154</v>
      </c>
      <c r="CC6" s="133" t="s">
        <v>1154</v>
      </c>
      <c r="CD6" s="133" t="s">
        <v>1154</v>
      </c>
      <c r="CE6" s="133" t="s">
        <v>1154</v>
      </c>
      <c r="CF6" s="133" t="s">
        <v>1155</v>
      </c>
      <c r="CG6" s="133" t="s">
        <v>1155</v>
      </c>
      <c r="CH6" s="133" t="s">
        <v>1155</v>
      </c>
      <c r="CI6" s="133" t="s">
        <v>1156</v>
      </c>
      <c r="CJ6" s="133" t="s">
        <v>1156</v>
      </c>
      <c r="CK6" s="133" t="s">
        <v>1156</v>
      </c>
      <c r="CL6" s="133" t="s">
        <v>1157</v>
      </c>
      <c r="CM6" s="133" t="s">
        <v>1158</v>
      </c>
      <c r="CN6" s="133" t="s">
        <v>1158</v>
      </c>
      <c r="CO6" s="133" t="s">
        <v>1158</v>
      </c>
      <c r="CP6" s="133" t="s">
        <v>1158</v>
      </c>
      <c r="CQ6" s="133" t="s">
        <v>1158</v>
      </c>
      <c r="CR6" s="133" t="s">
        <v>1158</v>
      </c>
      <c r="CS6" s="133" t="s">
        <v>1158</v>
      </c>
      <c r="CT6" s="133" t="s">
        <v>1158</v>
      </c>
      <c r="CU6" s="133" t="s">
        <v>1159</v>
      </c>
      <c r="CV6" s="133" t="s">
        <v>1159</v>
      </c>
      <c r="CW6" s="133" t="s">
        <v>1159</v>
      </c>
      <c r="CX6" s="133" t="s">
        <v>1160</v>
      </c>
      <c r="CY6" s="133" t="s">
        <v>1160</v>
      </c>
      <c r="CZ6" s="133" t="s">
        <v>1161</v>
      </c>
      <c r="DA6" s="133" t="s">
        <v>1161</v>
      </c>
      <c r="DB6" s="133" t="s">
        <v>1161</v>
      </c>
      <c r="DC6" s="133" t="s">
        <v>1161</v>
      </c>
      <c r="DD6" s="133" t="s">
        <v>1161</v>
      </c>
      <c r="DE6" s="133" t="s">
        <v>1161</v>
      </c>
      <c r="DF6" s="133" t="s">
        <v>1162</v>
      </c>
      <c r="DG6" s="133" t="s">
        <v>1162</v>
      </c>
      <c r="DH6" s="133" t="s">
        <v>1162</v>
      </c>
      <c r="DI6" s="133" t="s">
        <v>1162</v>
      </c>
      <c r="DJ6" s="133" t="s">
        <v>1162</v>
      </c>
      <c r="DK6" s="133" t="s">
        <v>1163</v>
      </c>
      <c r="DL6" s="133" t="s">
        <v>1163</v>
      </c>
      <c r="DM6" s="133" t="s">
        <v>1163</v>
      </c>
      <c r="DN6" s="133" t="s">
        <v>1163</v>
      </c>
      <c r="DO6" s="133" t="s">
        <v>1164</v>
      </c>
      <c r="DP6" s="133" t="s">
        <v>1164</v>
      </c>
      <c r="DQ6" s="133" t="s">
        <v>1164</v>
      </c>
      <c r="DR6" s="133" t="s">
        <v>1164</v>
      </c>
      <c r="DS6" s="133" t="s">
        <v>1165</v>
      </c>
      <c r="DT6" s="133" t="s">
        <v>1165</v>
      </c>
      <c r="DU6" s="133" t="s">
        <v>1165</v>
      </c>
      <c r="DV6" s="133" t="s">
        <v>1165</v>
      </c>
      <c r="DW6" s="133" t="s">
        <v>1166</v>
      </c>
      <c r="DX6" s="133" t="s">
        <v>1166</v>
      </c>
      <c r="DY6" s="133" t="s">
        <v>1166</v>
      </c>
      <c r="DZ6" s="133" t="s">
        <v>1167</v>
      </c>
      <c r="EA6" s="133" t="s">
        <v>1167</v>
      </c>
      <c r="EB6" s="133" t="s">
        <v>1168</v>
      </c>
      <c r="EC6" s="133" t="s">
        <v>1168</v>
      </c>
      <c r="ED6" s="133" t="s">
        <v>1168</v>
      </c>
      <c r="EE6" s="133" t="s">
        <v>1169</v>
      </c>
      <c r="EF6" s="133" t="s">
        <v>1169</v>
      </c>
      <c r="EG6" s="133" t="s">
        <v>1169</v>
      </c>
      <c r="EH6" s="133" t="s">
        <v>1169</v>
      </c>
      <c r="EI6" s="133" t="s">
        <v>1170</v>
      </c>
      <c r="EJ6" s="133" t="s">
        <v>1170</v>
      </c>
      <c r="EK6" s="133" t="s">
        <v>1170</v>
      </c>
      <c r="EL6" s="133" t="s">
        <v>1171</v>
      </c>
      <c r="EM6" s="133" t="s">
        <v>1171</v>
      </c>
      <c r="EN6" s="133" t="s">
        <v>1172</v>
      </c>
      <c r="EO6" s="133" t="s">
        <v>1172</v>
      </c>
      <c r="EP6" s="133" t="s">
        <v>1172</v>
      </c>
      <c r="EQ6" s="133" t="s">
        <v>1172</v>
      </c>
      <c r="ER6" s="133" t="s">
        <v>1172</v>
      </c>
      <c r="ES6" s="133" t="s">
        <v>1173</v>
      </c>
      <c r="ET6" s="133" t="s">
        <v>1173</v>
      </c>
      <c r="EU6" s="133" t="s">
        <v>1173</v>
      </c>
      <c r="EV6" s="133" t="s">
        <v>1173</v>
      </c>
      <c r="EW6" s="133" t="s">
        <v>1173</v>
      </c>
      <c r="EX6" s="224" t="s">
        <v>1190</v>
      </c>
      <c r="EY6" s="224" t="s">
        <v>1190</v>
      </c>
      <c r="EZ6" s="224" t="s">
        <v>1190</v>
      </c>
      <c r="FA6" s="133" t="s">
        <v>1174</v>
      </c>
      <c r="FB6" s="133" t="s">
        <v>1174</v>
      </c>
      <c r="FC6" s="133" t="s">
        <v>1174</v>
      </c>
      <c r="FD6" s="133" t="s">
        <v>1174</v>
      </c>
      <c r="FE6" s="133" t="s">
        <v>1174</v>
      </c>
      <c r="FF6" s="133" t="s">
        <v>1175</v>
      </c>
      <c r="FG6" s="133" t="s">
        <v>1175</v>
      </c>
      <c r="FH6" s="133" t="s">
        <v>1175</v>
      </c>
      <c r="FI6" s="133" t="s">
        <v>1176</v>
      </c>
      <c r="FJ6" s="133" t="s">
        <v>1176</v>
      </c>
      <c r="FK6" s="133" t="s">
        <v>1176</v>
      </c>
      <c r="FL6" s="133" t="s">
        <v>1177</v>
      </c>
      <c r="FM6" s="133" t="s">
        <v>1177</v>
      </c>
      <c r="FN6" s="133" t="s">
        <v>1177</v>
      </c>
      <c r="FO6" s="133" t="s">
        <v>1177</v>
      </c>
      <c r="FP6" s="133" t="s">
        <v>1178</v>
      </c>
      <c r="FQ6" s="133" t="s">
        <v>1178</v>
      </c>
      <c r="FR6" s="133" t="s">
        <v>1178</v>
      </c>
      <c r="FS6" s="133" t="s">
        <v>1178</v>
      </c>
      <c r="FT6" s="133" t="s">
        <v>1178</v>
      </c>
      <c r="FU6" s="133" t="s">
        <v>1179</v>
      </c>
      <c r="FV6" s="133" t="s">
        <v>1179</v>
      </c>
      <c r="FW6" s="133" t="s">
        <v>1180</v>
      </c>
      <c r="FX6" s="133" t="s">
        <v>1180</v>
      </c>
      <c r="FY6" s="133" t="s">
        <v>1180</v>
      </c>
      <c r="FZ6" s="213" t="s">
        <v>1181</v>
      </c>
      <c r="GA6" s="213" t="s">
        <v>1181</v>
      </c>
      <c r="GB6" s="213" t="s">
        <v>1181</v>
      </c>
      <c r="GC6" s="131" t="s">
        <v>1182</v>
      </c>
      <c r="GD6" s="131" t="s">
        <v>1182</v>
      </c>
      <c r="GE6" s="131" t="s">
        <v>1182</v>
      </c>
      <c r="GF6" s="131" t="s">
        <v>1182</v>
      </c>
      <c r="GG6" s="131" t="s">
        <v>1182</v>
      </c>
      <c r="GH6" s="131" t="s">
        <v>1182</v>
      </c>
      <c r="GI6" s="131" t="s">
        <v>1182</v>
      </c>
      <c r="GJ6" s="131" t="s">
        <v>1183</v>
      </c>
      <c r="GK6" s="131" t="s">
        <v>1183</v>
      </c>
      <c r="GL6" s="131" t="s">
        <v>1183</v>
      </c>
      <c r="GM6" s="131" t="s">
        <v>1183</v>
      </c>
      <c r="GN6" s="131" t="s">
        <v>1183</v>
      </c>
      <c r="GO6" s="131" t="s">
        <v>1184</v>
      </c>
      <c r="GP6" s="131" t="s">
        <v>1184</v>
      </c>
      <c r="GQ6" s="131" t="s">
        <v>1184</v>
      </c>
      <c r="GR6" s="131" t="s">
        <v>1185</v>
      </c>
      <c r="GS6" s="131" t="s">
        <v>1185</v>
      </c>
      <c r="GT6" s="131" t="s">
        <v>1185</v>
      </c>
      <c r="GU6" s="131" t="s">
        <v>1186</v>
      </c>
      <c r="GV6" s="131" t="s">
        <v>1186</v>
      </c>
      <c r="GW6" s="131" t="s">
        <v>1186</v>
      </c>
      <c r="GX6" s="131" t="s">
        <v>1186</v>
      </c>
      <c r="GY6" s="131" t="s">
        <v>1186</v>
      </c>
      <c r="GZ6" s="131" t="s">
        <v>1187</v>
      </c>
      <c r="HA6" s="131" t="s">
        <v>1187</v>
      </c>
      <c r="HB6" s="131" t="s">
        <v>1187</v>
      </c>
      <c r="HC6" s="131" t="s">
        <v>1188</v>
      </c>
      <c r="HD6" s="131" t="s">
        <v>1188</v>
      </c>
      <c r="HE6" s="131" t="s">
        <v>1188</v>
      </c>
      <c r="HF6" s="131" t="s">
        <v>1188</v>
      </c>
      <c r="HG6" s="131" t="s">
        <v>1188</v>
      </c>
      <c r="HH6" s="131" t="s">
        <v>1188</v>
      </c>
      <c r="HI6" s="131" t="s">
        <v>1188</v>
      </c>
      <c r="HJ6" s="131" t="s">
        <v>1189</v>
      </c>
    </row>
    <row r="7" spans="1:218" s="229" customFormat="1" ht="13.5">
      <c r="A7" s="225" t="s">
        <v>27</v>
      </c>
      <c r="B7" s="226" t="str">
        <f ca="1">CONCATENATE("HF"," ",VLOOKUP("Unprotected",Zone_Traduction,ref_langue,FALSE))</f>
        <v>HF Unprotected</v>
      </c>
      <c r="C7" s="227">
        <v>7</v>
      </c>
      <c r="D7" s="227">
        <v>6</v>
      </c>
      <c r="E7" s="227">
        <v>4</v>
      </c>
      <c r="F7" s="227">
        <v>2</v>
      </c>
      <c r="G7" s="227">
        <v>1</v>
      </c>
      <c r="H7" s="228">
        <v>0</v>
      </c>
      <c r="J7" s="204" t="str">
        <f ca="1">CONCATENATE("BWG"," ",VLOOKUP("crossbow",Zone_Traduction,ref_langue,FALSE))</f>
        <v>BWG Crossbow</v>
      </c>
      <c r="K7" s="216">
        <v>3</v>
      </c>
      <c r="M7" s="42"/>
      <c r="N7" s="227"/>
      <c r="Q7" s="204" t="str">
        <f ca="1">CONCATENATE("infanterie"," ",VLOOKUP("Impact foot Swordsmen",Zone_Traduction,ref_langue,FALSE))</f>
        <v>infanterie Impact Foot Swordsmen</v>
      </c>
      <c r="R7" s="205">
        <v>2</v>
      </c>
      <c r="AF7" s="230">
        <v>5</v>
      </c>
      <c r="AG7" s="229">
        <f t="shared" si="0"/>
        <v>1</v>
      </c>
      <c r="AH7" s="229">
        <f t="shared" si="0"/>
        <v>2</v>
      </c>
      <c r="AI7" s="229">
        <f t="shared" si="0"/>
        <v>3</v>
      </c>
      <c r="AJ7" s="229">
        <f t="shared" si="0"/>
        <v>4</v>
      </c>
      <c r="AK7" s="229">
        <v>10</v>
      </c>
      <c r="BI7" s="231"/>
      <c r="BJ7" s="20"/>
      <c r="BK7" s="20"/>
      <c r="BL7" s="20">
        <f ca="1">SUM(BI13:BI51)</f>
        <v>0</v>
      </c>
      <c r="BM7" s="20">
        <f ca="1">IF(SUM('Liste Armée'!$N$23:$N$61)=0,0,COUNTIF('Liste Armée'!P23:P61,"&lt;&gt;-"))</f>
        <v>0</v>
      </c>
      <c r="BN7" s="21">
        <f>VLOOKUP(BN8,table_eclaireur,2,TRUE)</f>
        <v>0</v>
      </c>
      <c r="BP7" s="218" t="s">
        <v>349</v>
      </c>
      <c r="BQ7" s="133"/>
      <c r="BR7" s="133"/>
      <c r="BS7" s="133" t="s">
        <v>476</v>
      </c>
      <c r="BT7" s="133"/>
      <c r="BU7" s="219" t="s">
        <v>477</v>
      </c>
      <c r="BV7" s="219" t="s">
        <v>477</v>
      </c>
      <c r="BW7" s="133" t="s">
        <v>478</v>
      </c>
      <c r="BX7" s="133" t="s">
        <v>478</v>
      </c>
      <c r="BY7" s="133" t="s">
        <v>478</v>
      </c>
      <c r="BZ7" s="133" t="s">
        <v>478</v>
      </c>
      <c r="CA7" s="133" t="s">
        <v>478</v>
      </c>
      <c r="CB7" s="133" t="s">
        <v>478</v>
      </c>
      <c r="CC7" s="133" t="s">
        <v>478</v>
      </c>
      <c r="CD7" s="133" t="s">
        <v>479</v>
      </c>
      <c r="CE7" s="133" t="s">
        <v>479</v>
      </c>
      <c r="CF7" s="133" t="s">
        <v>479</v>
      </c>
      <c r="CG7" s="133" t="s">
        <v>479</v>
      </c>
      <c r="CH7" s="133" t="s">
        <v>480</v>
      </c>
      <c r="CI7" s="133" t="s">
        <v>480</v>
      </c>
      <c r="CJ7" s="133" t="s">
        <v>480</v>
      </c>
      <c r="CK7" s="133" t="s">
        <v>480</v>
      </c>
      <c r="CL7" s="219" t="s">
        <v>481</v>
      </c>
      <c r="CM7" s="219" t="s">
        <v>481</v>
      </c>
      <c r="CN7" s="219" t="s">
        <v>481</v>
      </c>
      <c r="CO7" s="219" t="s">
        <v>481</v>
      </c>
      <c r="CP7" s="133" t="s">
        <v>482</v>
      </c>
      <c r="CQ7" s="133" t="s">
        <v>482</v>
      </c>
      <c r="CR7" s="133" t="s">
        <v>483</v>
      </c>
      <c r="CS7" s="133" t="s">
        <v>483</v>
      </c>
      <c r="CT7" s="133" t="s">
        <v>484</v>
      </c>
      <c r="CU7" s="133" t="s">
        <v>484</v>
      </c>
      <c r="CV7" s="133" t="s">
        <v>484</v>
      </c>
      <c r="CW7" s="133" t="s">
        <v>484</v>
      </c>
      <c r="CX7" s="133" t="s">
        <v>485</v>
      </c>
      <c r="CY7" s="133" t="s">
        <v>485</v>
      </c>
      <c r="CZ7" s="133" t="s">
        <v>485</v>
      </c>
      <c r="DA7" s="219" t="s">
        <v>486</v>
      </c>
      <c r="DB7" s="219" t="s">
        <v>486</v>
      </c>
      <c r="DC7" s="219" t="s">
        <v>486</v>
      </c>
      <c r="DD7" s="219" t="s">
        <v>486</v>
      </c>
      <c r="DE7" s="219" t="s">
        <v>486</v>
      </c>
      <c r="DF7" s="133" t="s">
        <v>487</v>
      </c>
      <c r="DG7" s="133" t="s">
        <v>487</v>
      </c>
      <c r="DH7" s="133" t="s">
        <v>487</v>
      </c>
      <c r="DI7" s="219" t="s">
        <v>488</v>
      </c>
      <c r="DJ7" s="219" t="s">
        <v>488</v>
      </c>
      <c r="DK7" s="219" t="s">
        <v>488</v>
      </c>
      <c r="DL7" s="219" t="s">
        <v>488</v>
      </c>
      <c r="DM7" s="133" t="s">
        <v>489</v>
      </c>
      <c r="DN7" s="133" t="s">
        <v>489</v>
      </c>
      <c r="DO7" s="133" t="s">
        <v>489</v>
      </c>
      <c r="DP7" s="133" t="s">
        <v>489</v>
      </c>
      <c r="DQ7" s="133" t="s">
        <v>490</v>
      </c>
      <c r="DR7" s="133" t="s">
        <v>490</v>
      </c>
      <c r="DS7" s="133" t="s">
        <v>490</v>
      </c>
      <c r="DT7" s="133" t="s">
        <v>491</v>
      </c>
      <c r="DU7" s="133" t="s">
        <v>491</v>
      </c>
      <c r="DV7" s="133" t="s">
        <v>491</v>
      </c>
      <c r="DW7" s="133" t="s">
        <v>491</v>
      </c>
      <c r="DX7" s="133" t="s">
        <v>491</v>
      </c>
      <c r="DY7" s="133" t="s">
        <v>492</v>
      </c>
      <c r="DZ7" s="133" t="s">
        <v>492</v>
      </c>
      <c r="EA7" s="133" t="s">
        <v>492</v>
      </c>
      <c r="EB7" s="133" t="s">
        <v>492</v>
      </c>
      <c r="EC7" s="133" t="s">
        <v>493</v>
      </c>
      <c r="ED7" s="133" t="s">
        <v>493</v>
      </c>
      <c r="EE7" s="133" t="s">
        <v>493</v>
      </c>
      <c r="EF7" s="232"/>
      <c r="EG7" s="232"/>
      <c r="EH7" s="232"/>
      <c r="EI7" s="232"/>
      <c r="EJ7" s="232"/>
      <c r="EK7" s="232"/>
      <c r="EL7" s="232"/>
      <c r="EM7" s="232"/>
      <c r="EN7" s="232"/>
      <c r="EO7" s="232"/>
      <c r="EP7" s="232"/>
      <c r="EQ7" s="232"/>
      <c r="ER7" s="232"/>
      <c r="ES7" s="232"/>
      <c r="ET7" s="232"/>
      <c r="EU7" s="232"/>
      <c r="EV7" s="233"/>
      <c r="EW7" s="234"/>
      <c r="EX7" s="234"/>
      <c r="EY7" s="234"/>
      <c r="EZ7" s="234"/>
      <c r="FA7" s="234"/>
      <c r="FB7" s="234"/>
      <c r="FC7" s="234"/>
      <c r="FD7" s="234"/>
      <c r="FE7" s="234"/>
      <c r="FF7" s="234"/>
      <c r="FG7" s="234"/>
      <c r="FH7" s="234"/>
      <c r="FI7" s="234"/>
      <c r="FJ7" s="234"/>
      <c r="FK7" s="234"/>
      <c r="FL7" s="234"/>
      <c r="FM7" s="234"/>
      <c r="FN7" s="234"/>
      <c r="FO7" s="234"/>
      <c r="FP7" s="234"/>
      <c r="FQ7" s="234"/>
      <c r="FR7" s="234"/>
      <c r="FS7" s="234"/>
      <c r="FT7" s="234"/>
      <c r="FU7" s="234"/>
      <c r="FV7" s="234"/>
      <c r="FW7" s="234"/>
      <c r="FX7" s="234"/>
      <c r="FY7" s="234"/>
      <c r="FZ7" s="235"/>
      <c r="GA7" s="236"/>
      <c r="GB7" s="236"/>
      <c r="GC7" s="236"/>
      <c r="GD7" s="236"/>
      <c r="GE7" s="236"/>
    </row>
    <row r="8" spans="1:218" ht="12.75" customHeight="1">
      <c r="A8" s="200" t="s">
        <v>27</v>
      </c>
      <c r="B8" s="204" t="str">
        <f ca="1">CONCATENATE("MF"," ",VLOOKUP("Heavily armoured",Zone_Traduction,ref_langue,FALSE))</f>
        <v>MF Heavily Armoured</v>
      </c>
      <c r="C8" s="133">
        <v>16</v>
      </c>
      <c r="D8" s="133">
        <v>13</v>
      </c>
      <c r="E8" s="133">
        <v>9</v>
      </c>
      <c r="F8" s="133"/>
      <c r="G8" s="133">
        <v>2</v>
      </c>
      <c r="H8" s="213">
        <v>0</v>
      </c>
      <c r="J8" s="204" t="str">
        <f ca="1">CONCATENATE("BWG"," ",VLOOKUP("light artillery",Zone_Traduction,ref_langue,FALSE))</f>
        <v>BWG Light Artillery</v>
      </c>
      <c r="K8" s="216">
        <v>6</v>
      </c>
      <c r="M8" s="40"/>
      <c r="N8" s="133"/>
      <c r="Q8" s="204" t="str">
        <f ca="1">CONCATENATE("infanterie"," ",VLOOKUP("Light spear Skilled swordsmen",Zone_Traduction,ref_langue,FALSE))</f>
        <v>infanterie Light Spear Skilled Swordsmen</v>
      </c>
      <c r="R8" s="237">
        <v>2</v>
      </c>
      <c r="AF8" s="203">
        <v>6</v>
      </c>
      <c r="AG8" s="131">
        <f t="shared" si="0"/>
        <v>0.83333333333333326</v>
      </c>
      <c r="AH8" s="131">
        <f t="shared" si="0"/>
        <v>1.6666666666666665</v>
      </c>
      <c r="AI8" s="131">
        <f t="shared" si="0"/>
        <v>2.5</v>
      </c>
      <c r="AJ8" s="131">
        <f t="shared" si="0"/>
        <v>3.333333333333333</v>
      </c>
      <c r="AK8" s="131">
        <f t="shared" si="0"/>
        <v>4.166666666666667</v>
      </c>
      <c r="AL8" s="131">
        <v>10</v>
      </c>
      <c r="BI8" s="127"/>
      <c r="BJ8" s="3"/>
      <c r="BK8" s="3"/>
      <c r="BL8" s="3">
        <f ca="1">SUM(BL13:BL38)</f>
        <v>0</v>
      </c>
      <c r="BM8" s="3" t="str">
        <f ca="1">VLOOKUP(BM7,ordre_de_marche,2)</f>
        <v>0-0-0-0</v>
      </c>
      <c r="BN8" s="3">
        <f>SUM(BN13:BN38)</f>
        <v>0</v>
      </c>
      <c r="BP8" s="218" t="s">
        <v>346</v>
      </c>
      <c r="BQ8" s="133"/>
      <c r="BR8" s="133"/>
      <c r="BS8" s="133" t="s">
        <v>416</v>
      </c>
      <c r="BT8" s="133" t="s">
        <v>416</v>
      </c>
      <c r="BU8" s="133" t="s">
        <v>416</v>
      </c>
      <c r="BV8" s="133" t="s">
        <v>416</v>
      </c>
      <c r="BW8" s="133" t="s">
        <v>416</v>
      </c>
      <c r="BX8" s="133" t="s">
        <v>416</v>
      </c>
      <c r="BY8" s="133" t="s">
        <v>416</v>
      </c>
      <c r="BZ8" s="133" t="s">
        <v>417</v>
      </c>
      <c r="CA8" s="133" t="s">
        <v>417</v>
      </c>
      <c r="CB8" s="133" t="s">
        <v>417</v>
      </c>
      <c r="CC8" s="133" t="s">
        <v>417</v>
      </c>
      <c r="CD8" s="133" t="s">
        <v>417</v>
      </c>
      <c r="CE8" s="133" t="s">
        <v>418</v>
      </c>
      <c r="CF8" s="133" t="s">
        <v>418</v>
      </c>
      <c r="CG8" s="133" t="s">
        <v>418</v>
      </c>
      <c r="CH8" s="133" t="s">
        <v>419</v>
      </c>
      <c r="CI8" s="133" t="s">
        <v>419</v>
      </c>
      <c r="CJ8" s="133" t="s">
        <v>420</v>
      </c>
      <c r="CK8" s="133" t="s">
        <v>421</v>
      </c>
      <c r="CL8" s="133" t="s">
        <v>421</v>
      </c>
      <c r="CM8" s="219" t="s">
        <v>422</v>
      </c>
      <c r="CN8" s="219" t="s">
        <v>422</v>
      </c>
      <c r="CO8" s="219" t="s">
        <v>422</v>
      </c>
      <c r="CP8" s="219" t="s">
        <v>422</v>
      </c>
      <c r="CQ8" s="133" t="s">
        <v>423</v>
      </c>
      <c r="CR8" s="133" t="s">
        <v>423</v>
      </c>
      <c r="CS8" s="133" t="s">
        <v>423</v>
      </c>
      <c r="CT8" s="133" t="s">
        <v>423</v>
      </c>
      <c r="CU8" s="133" t="s">
        <v>424</v>
      </c>
      <c r="CV8" s="133" t="s">
        <v>424</v>
      </c>
      <c r="CW8" s="133" t="s">
        <v>424</v>
      </c>
      <c r="CX8" s="133" t="s">
        <v>424</v>
      </c>
      <c r="CY8" s="133" t="s">
        <v>425</v>
      </c>
      <c r="CZ8" s="133" t="s">
        <v>425</v>
      </c>
      <c r="DA8" s="133" t="s">
        <v>426</v>
      </c>
      <c r="DB8" s="133" t="s">
        <v>426</v>
      </c>
      <c r="DC8" s="133" t="s">
        <v>426</v>
      </c>
      <c r="DD8" s="133" t="s">
        <v>427</v>
      </c>
      <c r="DE8" s="133" t="s">
        <v>427</v>
      </c>
      <c r="DF8" s="133" t="s">
        <v>427</v>
      </c>
      <c r="DG8" s="133" t="s">
        <v>427</v>
      </c>
      <c r="DH8" s="133" t="s">
        <v>427</v>
      </c>
      <c r="DI8" s="133" t="s">
        <v>427</v>
      </c>
      <c r="DJ8" s="133" t="s">
        <v>428</v>
      </c>
      <c r="DK8" s="133" t="s">
        <v>428</v>
      </c>
      <c r="DL8" s="133" t="s">
        <v>429</v>
      </c>
      <c r="DM8" s="133" t="s">
        <v>429</v>
      </c>
      <c r="DN8" s="133" t="s">
        <v>430</v>
      </c>
      <c r="DO8" s="133" t="s">
        <v>430</v>
      </c>
      <c r="DP8" s="133" t="s">
        <v>431</v>
      </c>
      <c r="DQ8" s="133" t="s">
        <v>431</v>
      </c>
      <c r="DR8" s="133" t="s">
        <v>431</v>
      </c>
      <c r="DS8" s="133" t="s">
        <v>431</v>
      </c>
      <c r="DT8" s="133" t="s">
        <v>432</v>
      </c>
      <c r="DU8" s="133" t="s">
        <v>433</v>
      </c>
      <c r="DV8" s="133" t="s">
        <v>433</v>
      </c>
      <c r="DW8" s="133" t="s">
        <v>433</v>
      </c>
      <c r="DX8" s="238"/>
      <c r="DY8" s="238"/>
      <c r="DZ8" s="238"/>
      <c r="EA8" s="238"/>
      <c r="EB8" s="238"/>
      <c r="EC8" s="238"/>
      <c r="ED8" s="238"/>
      <c r="EE8" s="238"/>
      <c r="EF8" s="238"/>
      <c r="EG8" s="238"/>
      <c r="EH8" s="238"/>
      <c r="EI8" s="238"/>
      <c r="EJ8" s="238"/>
      <c r="EK8" s="238"/>
      <c r="EL8" s="238"/>
      <c r="EM8" s="238"/>
      <c r="EN8" s="238"/>
      <c r="EO8" s="238"/>
      <c r="EP8" s="238"/>
      <c r="EQ8" s="238"/>
      <c r="ER8" s="238"/>
      <c r="ES8" s="238"/>
      <c r="ET8" s="238"/>
      <c r="EU8" s="238"/>
      <c r="EV8" s="239"/>
      <c r="EW8" s="238"/>
      <c r="EX8" s="238"/>
      <c r="EY8" s="238"/>
      <c r="EZ8" s="238"/>
      <c r="FA8" s="238"/>
      <c r="FB8" s="238"/>
      <c r="FC8" s="238"/>
      <c r="FD8" s="238"/>
      <c r="FE8" s="238"/>
      <c r="FF8" s="238"/>
      <c r="FG8" s="238"/>
      <c r="FH8" s="238"/>
      <c r="FI8" s="238"/>
      <c r="FJ8" s="238"/>
      <c r="FK8" s="238"/>
      <c r="FL8" s="238"/>
      <c r="FM8" s="238"/>
      <c r="FN8" s="238"/>
      <c r="FO8" s="238"/>
      <c r="FP8" s="238"/>
      <c r="FQ8" s="238"/>
      <c r="FR8" s="238"/>
      <c r="FS8" s="238"/>
      <c r="FT8" s="238"/>
      <c r="FU8" s="238"/>
      <c r="FV8" s="238"/>
      <c r="FW8" s="238"/>
      <c r="FX8" s="238"/>
      <c r="FY8" s="238"/>
      <c r="FZ8" s="239"/>
      <c r="GA8" s="240"/>
      <c r="GB8" s="240"/>
      <c r="GC8" s="240"/>
      <c r="GD8" s="240"/>
      <c r="GE8" s="240"/>
    </row>
    <row r="9" spans="1:218" ht="12.75" customHeight="1">
      <c r="A9" s="200" t="s">
        <v>27</v>
      </c>
      <c r="B9" s="204" t="str">
        <f ca="1">CONCATENATE("MF"," ",VLOOKUP("Armoured",Zone_Traduction,ref_langue,FALSE))</f>
        <v>MF Armoured</v>
      </c>
      <c r="C9" s="133">
        <v>13</v>
      </c>
      <c r="D9" s="133">
        <v>11</v>
      </c>
      <c r="E9" s="133">
        <v>7</v>
      </c>
      <c r="F9" s="133">
        <v>5</v>
      </c>
      <c r="G9" s="133">
        <v>1</v>
      </c>
      <c r="H9" s="213">
        <v>0</v>
      </c>
      <c r="J9" s="204" t="str">
        <f ca="1">CONCATENATE("BWG"," ",VLOOKUP("Longbow",Zone_Traduction,ref_langue,FALSE))</f>
        <v>BWG Longbow</v>
      </c>
      <c r="K9" s="216">
        <v>6</v>
      </c>
      <c r="M9" s="40"/>
      <c r="N9" s="133"/>
      <c r="Q9" s="204" t="str">
        <f ca="1">CONCATENATE("infanterie"," ",VLOOKUP("Light spear Swordsmen",Zone_Traduction,ref_langue,FALSE))</f>
        <v>infanterie Light spear Swordsmen</v>
      </c>
      <c r="R9" s="237">
        <v>1</v>
      </c>
      <c r="AF9" s="203">
        <v>7</v>
      </c>
      <c r="AG9" s="131">
        <f t="shared" si="0"/>
        <v>0.71428571428571419</v>
      </c>
      <c r="AH9" s="131">
        <f t="shared" si="0"/>
        <v>1.4285714285714284</v>
      </c>
      <c r="AI9" s="131">
        <f t="shared" si="0"/>
        <v>2.1428571428571428</v>
      </c>
      <c r="AJ9" s="131">
        <f t="shared" si="0"/>
        <v>2.8571428571428568</v>
      </c>
      <c r="AK9" s="131">
        <f t="shared" si="0"/>
        <v>3.5714285714285716</v>
      </c>
      <c r="AL9" s="131">
        <f t="shared" si="0"/>
        <v>4.2857142857142856</v>
      </c>
      <c r="AM9" s="131">
        <v>10</v>
      </c>
      <c r="BI9" s="127"/>
      <c r="BJ9" s="3"/>
      <c r="BK9" s="3"/>
      <c r="BL9" s="3"/>
      <c r="BM9" s="3"/>
      <c r="BN9" s="3"/>
      <c r="BP9" s="241" t="s">
        <v>348</v>
      </c>
      <c r="BQ9" s="227"/>
      <c r="BR9" s="227"/>
      <c r="BS9" s="227"/>
      <c r="BT9" s="227"/>
      <c r="BU9" s="227" t="s">
        <v>454</v>
      </c>
      <c r="BV9" s="227" t="s">
        <v>454</v>
      </c>
      <c r="BW9" s="227" t="s">
        <v>454</v>
      </c>
      <c r="BX9" s="227" t="s">
        <v>454</v>
      </c>
      <c r="BY9" s="227" t="s">
        <v>454</v>
      </c>
      <c r="BZ9" s="227" t="s">
        <v>454</v>
      </c>
      <c r="CA9" s="227" t="s">
        <v>456</v>
      </c>
      <c r="CB9" s="227" t="s">
        <v>456</v>
      </c>
      <c r="CC9" s="227" t="s">
        <v>456</v>
      </c>
      <c r="CD9" s="227" t="s">
        <v>456</v>
      </c>
      <c r="CE9" s="227" t="s">
        <v>456</v>
      </c>
      <c r="CF9" s="227" t="s">
        <v>456</v>
      </c>
      <c r="CG9" s="227" t="s">
        <v>455</v>
      </c>
      <c r="CH9" s="227" t="s">
        <v>455</v>
      </c>
      <c r="CI9" s="227" t="s">
        <v>455</v>
      </c>
      <c r="CJ9" s="227" t="s">
        <v>455</v>
      </c>
      <c r="CK9" s="227" t="s">
        <v>455</v>
      </c>
      <c r="CL9" s="227" t="s">
        <v>457</v>
      </c>
      <c r="CM9" s="227" t="s">
        <v>457</v>
      </c>
      <c r="CN9" s="227" t="s">
        <v>457</v>
      </c>
      <c r="CO9" s="227" t="s">
        <v>458</v>
      </c>
      <c r="CP9" s="227" t="s">
        <v>458</v>
      </c>
      <c r="CQ9" s="227" t="s">
        <v>458</v>
      </c>
      <c r="CR9" s="227" t="s">
        <v>459</v>
      </c>
      <c r="CS9" s="227" t="s">
        <v>459</v>
      </c>
      <c r="CT9" s="227" t="s">
        <v>459</v>
      </c>
      <c r="CU9" s="227" t="s">
        <v>460</v>
      </c>
      <c r="CV9" s="227" t="s">
        <v>460</v>
      </c>
      <c r="CW9" s="227" t="s">
        <v>460</v>
      </c>
      <c r="CX9" s="227" t="s">
        <v>461</v>
      </c>
      <c r="CY9" s="227" t="s">
        <v>461</v>
      </c>
      <c r="CZ9" s="227" t="s">
        <v>461</v>
      </c>
      <c r="DA9" s="227" t="s">
        <v>462</v>
      </c>
      <c r="DB9" s="227" t="s">
        <v>462</v>
      </c>
      <c r="DC9" s="227" t="s">
        <v>462</v>
      </c>
      <c r="DD9" s="242" t="s">
        <v>463</v>
      </c>
      <c r="DE9" s="227" t="s">
        <v>464</v>
      </c>
      <c r="DF9" s="227" t="s">
        <v>464</v>
      </c>
      <c r="DG9" s="227" t="s">
        <v>464</v>
      </c>
      <c r="DH9" s="227" t="s">
        <v>465</v>
      </c>
      <c r="DI9" s="242" t="s">
        <v>466</v>
      </c>
      <c r="DJ9" s="242" t="s">
        <v>466</v>
      </c>
      <c r="DK9" s="227" t="s">
        <v>467</v>
      </c>
      <c r="DL9" s="227" t="s">
        <v>467</v>
      </c>
      <c r="DM9" s="227" t="s">
        <v>467</v>
      </c>
      <c r="DN9" s="227" t="s">
        <v>467</v>
      </c>
      <c r="DO9" s="227" t="s">
        <v>468</v>
      </c>
      <c r="DP9" s="227" t="s">
        <v>468</v>
      </c>
      <c r="DQ9" s="227" t="s">
        <v>468</v>
      </c>
      <c r="DR9" s="227" t="s">
        <v>469</v>
      </c>
      <c r="DS9" s="227" t="s">
        <v>469</v>
      </c>
      <c r="DT9" s="227" t="s">
        <v>469</v>
      </c>
      <c r="DU9" s="227" t="s">
        <v>469</v>
      </c>
      <c r="DV9" s="243" t="s">
        <v>470</v>
      </c>
      <c r="DW9" s="243" t="s">
        <v>470</v>
      </c>
      <c r="DX9" s="243" t="s">
        <v>470</v>
      </c>
      <c r="DY9" s="244" t="s">
        <v>471</v>
      </c>
      <c r="DZ9" s="244" t="s">
        <v>471</v>
      </c>
      <c r="EA9" s="244" t="s">
        <v>472</v>
      </c>
      <c r="EB9" s="244" t="s">
        <v>472</v>
      </c>
      <c r="EC9" s="244" t="s">
        <v>472</v>
      </c>
      <c r="ED9" s="245" t="s">
        <v>473</v>
      </c>
      <c r="EE9" s="245" t="s">
        <v>473</v>
      </c>
      <c r="EF9" s="245" t="s">
        <v>474</v>
      </c>
      <c r="EG9" s="245" t="s">
        <v>474</v>
      </c>
      <c r="EH9" s="245" t="s">
        <v>474</v>
      </c>
      <c r="EI9" s="245" t="s">
        <v>474</v>
      </c>
      <c r="EJ9" s="245" t="s">
        <v>475</v>
      </c>
      <c r="EK9" s="245" t="s">
        <v>475</v>
      </c>
      <c r="EL9" s="245" t="s">
        <v>475</v>
      </c>
      <c r="EM9" s="246"/>
      <c r="EN9" s="246"/>
      <c r="EO9" s="246"/>
      <c r="EP9" s="246"/>
      <c r="EQ9" s="246"/>
      <c r="ER9" s="246"/>
      <c r="ES9" s="246"/>
      <c r="ET9" s="246"/>
      <c r="EU9" s="246"/>
      <c r="EV9" s="247"/>
      <c r="EW9" s="248"/>
      <c r="EX9" s="248"/>
      <c r="EY9" s="248"/>
      <c r="EZ9" s="248"/>
      <c r="FA9" s="248"/>
      <c r="FB9" s="248"/>
      <c r="FC9" s="248"/>
      <c r="FD9" s="248"/>
      <c r="FE9" s="248"/>
      <c r="FF9" s="248"/>
      <c r="FG9" s="248"/>
      <c r="FH9" s="248"/>
      <c r="FI9" s="248"/>
      <c r="FJ9" s="248"/>
      <c r="FK9" s="248"/>
      <c r="FL9" s="248"/>
      <c r="FM9" s="248"/>
      <c r="FN9" s="248"/>
      <c r="FO9" s="248"/>
      <c r="FP9" s="248"/>
      <c r="FQ9" s="248"/>
      <c r="FR9" s="248"/>
      <c r="FS9" s="248"/>
      <c r="FT9" s="248"/>
      <c r="FU9" s="248"/>
      <c r="FV9" s="248"/>
      <c r="FW9" s="248"/>
      <c r="FX9" s="248"/>
      <c r="FY9" s="248"/>
      <c r="FZ9" s="249"/>
      <c r="GA9" s="250"/>
      <c r="GB9" s="250"/>
      <c r="GC9" s="250"/>
      <c r="GD9" s="250"/>
      <c r="GE9" s="250"/>
    </row>
    <row r="10" spans="1:218" ht="12.75" customHeight="1">
      <c r="A10" s="200" t="s">
        <v>27</v>
      </c>
      <c r="B10" s="204" t="str">
        <f ca="1">CONCATENATE("MF"," ",VLOOKUP("Protected",Zone_Traduction,ref_langue,FALSE))</f>
        <v>MF Protected</v>
      </c>
      <c r="C10" s="133">
        <v>10</v>
      </c>
      <c r="D10" s="133">
        <v>8</v>
      </c>
      <c r="E10" s="133">
        <v>5</v>
      </c>
      <c r="F10" s="133">
        <v>3</v>
      </c>
      <c r="G10" s="133">
        <v>1</v>
      </c>
      <c r="H10" s="213">
        <v>0</v>
      </c>
      <c r="J10" s="204" t="str">
        <f ca="1">CONCATENATE("infanterie"," ",VLOOKUP("Bow",Zone_Traduction,ref_langue,FALSE))</f>
        <v>infanterie Bow</v>
      </c>
      <c r="K10" s="216">
        <v>1</v>
      </c>
      <c r="Q10" s="204" t="str">
        <f ca="1">CONCATENATE("infanterie"," ",VLOOKUP("Offensive spearmen",Zone_Traduction,ref_langue,FALSE))</f>
        <v>infanterie Offensive Spearmen</v>
      </c>
      <c r="R10" s="205">
        <v>2</v>
      </c>
      <c r="AF10" s="203">
        <v>8</v>
      </c>
      <c r="AG10" s="131">
        <f t="shared" si="0"/>
        <v>0.625</v>
      </c>
      <c r="AH10" s="131">
        <f t="shared" si="0"/>
        <v>1.25</v>
      </c>
      <c r="AI10" s="131">
        <f t="shared" si="0"/>
        <v>1.875</v>
      </c>
      <c r="AJ10" s="131">
        <f t="shared" si="0"/>
        <v>2.5</v>
      </c>
      <c r="AK10" s="131">
        <f t="shared" si="0"/>
        <v>3.125</v>
      </c>
      <c r="AL10" s="131">
        <f t="shared" si="0"/>
        <v>3.75</v>
      </c>
      <c r="AM10" s="131">
        <f t="shared" si="0"/>
        <v>4.375</v>
      </c>
      <c r="AN10" s="131">
        <v>10</v>
      </c>
      <c r="BI10" s="127"/>
      <c r="BJ10" s="3"/>
      <c r="BK10" s="3"/>
      <c r="BL10" s="3"/>
      <c r="BM10" s="3"/>
      <c r="BN10" s="3"/>
      <c r="BP10" s="206" t="s">
        <v>546</v>
      </c>
      <c r="BQ10" s="215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21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213"/>
    </row>
    <row r="11" spans="1:218" ht="12.75" customHeight="1">
      <c r="A11" s="200" t="s">
        <v>27</v>
      </c>
      <c r="B11" s="204" t="str">
        <f ca="1">CONCATENATE("MF"," ",VLOOKUP("Unprotected",Zone_Traduction,ref_langue,FALSE))</f>
        <v>MF Unprotected</v>
      </c>
      <c r="C11" s="133">
        <v>7</v>
      </c>
      <c r="D11" s="133">
        <v>6</v>
      </c>
      <c r="E11" s="133">
        <v>4</v>
      </c>
      <c r="F11" s="133">
        <v>2</v>
      </c>
      <c r="G11" s="133">
        <v>1</v>
      </c>
      <c r="H11" s="213">
        <v>0</v>
      </c>
      <c r="J11" s="226" t="str">
        <f ca="1">CONCATENATE("infanterie"," ",VLOOKUP("Bw*",Zone_Traduction,ref_langue,FALSE))</f>
        <v>infanterie Bw*</v>
      </c>
      <c r="K11" s="251">
        <v>1</v>
      </c>
      <c r="Q11" s="252" t="s">
        <v>1191</v>
      </c>
      <c r="R11" s="205">
        <v>2</v>
      </c>
      <c r="AF11" s="203">
        <v>9</v>
      </c>
      <c r="AG11" s="131">
        <f t="shared" si="0"/>
        <v>0.55555555555555558</v>
      </c>
      <c r="AH11" s="131">
        <f t="shared" si="0"/>
        <v>1.1111111111111112</v>
      </c>
      <c r="AI11" s="131">
        <f t="shared" si="0"/>
        <v>1.6666666666666665</v>
      </c>
      <c r="AJ11" s="131">
        <f t="shared" si="0"/>
        <v>2.2222222222222223</v>
      </c>
      <c r="AK11" s="131">
        <f t="shared" si="0"/>
        <v>2.7777777777777777</v>
      </c>
      <c r="AL11" s="131">
        <f t="shared" si="0"/>
        <v>3.333333333333333</v>
      </c>
      <c r="AM11" s="131">
        <f t="shared" si="0"/>
        <v>3.8888888888888888</v>
      </c>
      <c r="AN11" s="131">
        <f t="shared" si="0"/>
        <v>4.4444444444444446</v>
      </c>
      <c r="AO11" s="131">
        <v>10</v>
      </c>
      <c r="BI11" s="127"/>
      <c r="BJ11" s="3"/>
      <c r="BK11" s="3"/>
      <c r="BL11" s="3"/>
      <c r="BM11" s="3"/>
      <c r="BN11" s="3"/>
      <c r="BP11" s="206" t="s">
        <v>543</v>
      </c>
      <c r="BQ11" s="215"/>
      <c r="BR11" s="133"/>
      <c r="BS11" s="133"/>
      <c r="BT11" s="224" t="s">
        <v>604</v>
      </c>
      <c r="BU11" s="224" t="s">
        <v>604</v>
      </c>
      <c r="BV11" s="224" t="s">
        <v>604</v>
      </c>
      <c r="BW11" s="224" t="s">
        <v>604</v>
      </c>
      <c r="BX11" s="224" t="s">
        <v>605</v>
      </c>
      <c r="BY11" s="224" t="s">
        <v>605</v>
      </c>
      <c r="BZ11" s="224" t="s">
        <v>605</v>
      </c>
      <c r="CA11" s="224" t="s">
        <v>605</v>
      </c>
      <c r="CB11" s="224" t="s">
        <v>606</v>
      </c>
      <c r="CC11" s="224" t="s">
        <v>606</v>
      </c>
      <c r="CD11" s="224" t="s">
        <v>606</v>
      </c>
      <c r="CE11" s="224" t="s">
        <v>606</v>
      </c>
      <c r="CF11" s="224" t="s">
        <v>606</v>
      </c>
      <c r="CG11" s="224" t="s">
        <v>607</v>
      </c>
      <c r="CH11" s="224" t="s">
        <v>607</v>
      </c>
      <c r="CI11" s="224" t="s">
        <v>607</v>
      </c>
      <c r="CJ11" s="224" t="s">
        <v>608</v>
      </c>
      <c r="CK11" s="224" t="s">
        <v>608</v>
      </c>
      <c r="CL11" s="224" t="s">
        <v>608</v>
      </c>
      <c r="CM11" s="224" t="s">
        <v>608</v>
      </c>
      <c r="CN11" s="224" t="s">
        <v>609</v>
      </c>
      <c r="CO11" s="224" t="s">
        <v>609</v>
      </c>
      <c r="CP11" s="224" t="s">
        <v>609</v>
      </c>
      <c r="CQ11" s="224" t="s">
        <v>610</v>
      </c>
      <c r="CR11" s="224" t="s">
        <v>610</v>
      </c>
      <c r="CS11" s="224" t="s">
        <v>610</v>
      </c>
      <c r="CT11" s="224" t="s">
        <v>610</v>
      </c>
      <c r="CU11" s="224" t="s">
        <v>610</v>
      </c>
      <c r="CV11" s="224" t="s">
        <v>611</v>
      </c>
      <c r="CW11" s="224" t="s">
        <v>611</v>
      </c>
      <c r="CX11" s="224" t="s">
        <v>611</v>
      </c>
      <c r="CY11" s="224" t="s">
        <v>611</v>
      </c>
      <c r="CZ11" s="224" t="s">
        <v>611</v>
      </c>
      <c r="DA11" s="253" t="s">
        <v>612</v>
      </c>
      <c r="DB11" s="253" t="s">
        <v>612</v>
      </c>
      <c r="DC11" s="253" t="s">
        <v>612</v>
      </c>
      <c r="DD11" s="253" t="s">
        <v>612</v>
      </c>
      <c r="DE11" s="253" t="s">
        <v>612</v>
      </c>
      <c r="DF11" s="253" t="s">
        <v>612</v>
      </c>
      <c r="DG11" s="253" t="s">
        <v>612</v>
      </c>
      <c r="DH11" s="224" t="s">
        <v>613</v>
      </c>
      <c r="DI11" s="224" t="s">
        <v>613</v>
      </c>
      <c r="DJ11" s="224" t="s">
        <v>613</v>
      </c>
      <c r="DK11" s="224" t="s">
        <v>613</v>
      </c>
      <c r="DL11" s="224" t="s">
        <v>613</v>
      </c>
      <c r="DM11" s="224" t="s">
        <v>613</v>
      </c>
      <c r="DN11" s="224" t="s">
        <v>614</v>
      </c>
      <c r="DO11" s="224" t="s">
        <v>614</v>
      </c>
      <c r="DP11" s="224" t="s">
        <v>614</v>
      </c>
      <c r="DQ11" s="224" t="s">
        <v>614</v>
      </c>
      <c r="DR11" s="224" t="s">
        <v>614</v>
      </c>
      <c r="DS11" s="224" t="s">
        <v>615</v>
      </c>
      <c r="DT11" s="224" t="s">
        <v>615</v>
      </c>
      <c r="DU11" s="224" t="s">
        <v>616</v>
      </c>
      <c r="DV11" s="224" t="s">
        <v>616</v>
      </c>
      <c r="DW11" s="224" t="s">
        <v>616</v>
      </c>
      <c r="DX11" s="224" t="s">
        <v>617</v>
      </c>
      <c r="DY11" s="224" t="s">
        <v>617</v>
      </c>
      <c r="DZ11" s="224" t="s">
        <v>617</v>
      </c>
      <c r="EA11" s="224" t="s">
        <v>618</v>
      </c>
      <c r="EB11" s="224" t="s">
        <v>618</v>
      </c>
      <c r="EC11" s="224" t="s">
        <v>618</v>
      </c>
      <c r="ED11" s="224" t="s">
        <v>618</v>
      </c>
      <c r="EE11" s="224" t="s">
        <v>619</v>
      </c>
      <c r="EF11" s="224" t="s">
        <v>619</v>
      </c>
      <c r="EG11" s="224" t="s">
        <v>619</v>
      </c>
      <c r="EH11" s="224" t="s">
        <v>619</v>
      </c>
      <c r="EI11" s="224" t="s">
        <v>620</v>
      </c>
      <c r="EJ11" s="224" t="s">
        <v>620</v>
      </c>
      <c r="EK11" s="224" t="s">
        <v>620</v>
      </c>
      <c r="EL11" s="224" t="s">
        <v>621</v>
      </c>
      <c r="EM11" s="224" t="s">
        <v>621</v>
      </c>
      <c r="EN11" s="224" t="s">
        <v>621</v>
      </c>
      <c r="EO11" s="224" t="s">
        <v>622</v>
      </c>
      <c r="EP11" s="224" t="s">
        <v>622</v>
      </c>
      <c r="EQ11" s="224" t="s">
        <v>623</v>
      </c>
      <c r="ER11" s="224" t="s">
        <v>623</v>
      </c>
      <c r="ES11" s="224" t="s">
        <v>623</v>
      </c>
      <c r="ET11" s="224" t="s">
        <v>624</v>
      </c>
      <c r="EU11" s="224" t="s">
        <v>624</v>
      </c>
      <c r="EV11" s="224" t="s">
        <v>624</v>
      </c>
      <c r="EW11" s="224" t="s">
        <v>625</v>
      </c>
      <c r="EX11" s="224" t="s">
        <v>625</v>
      </c>
      <c r="EY11" s="224" t="s">
        <v>625</v>
      </c>
      <c r="EZ11" s="224" t="s">
        <v>625</v>
      </c>
      <c r="FA11" s="224" t="s">
        <v>626</v>
      </c>
      <c r="FB11" s="224" t="s">
        <v>626</v>
      </c>
      <c r="FC11" s="224" t="s">
        <v>626</v>
      </c>
      <c r="FD11" s="224" t="s">
        <v>626</v>
      </c>
      <c r="FE11" s="224" t="s">
        <v>627</v>
      </c>
      <c r="FF11" s="224" t="s">
        <v>627</v>
      </c>
      <c r="FG11" s="224" t="s">
        <v>627</v>
      </c>
      <c r="FH11" s="224" t="s">
        <v>627</v>
      </c>
      <c r="FI11" s="224" t="s">
        <v>627</v>
      </c>
      <c r="FJ11" s="224" t="s">
        <v>628</v>
      </c>
      <c r="FK11" s="224" t="s">
        <v>628</v>
      </c>
      <c r="FL11" s="224" t="s">
        <v>628</v>
      </c>
      <c r="FM11" s="224" t="s">
        <v>629</v>
      </c>
      <c r="FN11" s="224" t="s">
        <v>629</v>
      </c>
      <c r="FO11" s="224" t="s">
        <v>629</v>
      </c>
      <c r="FP11" s="224" t="s">
        <v>630</v>
      </c>
      <c r="FQ11" s="224" t="s">
        <v>630</v>
      </c>
      <c r="FR11" s="224" t="s">
        <v>630</v>
      </c>
      <c r="FS11" s="224" t="s">
        <v>630</v>
      </c>
      <c r="FT11" s="224" t="s">
        <v>631</v>
      </c>
      <c r="FU11" s="224" t="s">
        <v>631</v>
      </c>
      <c r="FV11" s="224" t="s">
        <v>631</v>
      </c>
      <c r="FW11" s="224" t="s">
        <v>632</v>
      </c>
      <c r="FX11" s="224" t="s">
        <v>632</v>
      </c>
      <c r="FY11" s="224" t="s">
        <v>632</v>
      </c>
      <c r="FZ11" s="254" t="s">
        <v>633</v>
      </c>
      <c r="GA11" s="254" t="s">
        <v>633</v>
      </c>
      <c r="GB11" s="254" t="s">
        <v>633</v>
      </c>
    </row>
    <row r="12" spans="1:218" ht="12.75" customHeight="1">
      <c r="A12" s="200" t="s">
        <v>27</v>
      </c>
      <c r="B12" s="204" t="str">
        <f ca="1">CONCATENATE("LF"," ",VLOOKUP("Heavily armoured",Zone_Traduction,ref_langue,FALSE))</f>
        <v>LF Heavily Armoured</v>
      </c>
      <c r="C12" s="133">
        <v>16</v>
      </c>
      <c r="D12" s="133">
        <v>13</v>
      </c>
      <c r="E12" s="133">
        <v>9</v>
      </c>
      <c r="F12" s="133"/>
      <c r="G12" s="133">
        <v>2</v>
      </c>
      <c r="H12" s="213">
        <v>0</v>
      </c>
      <c r="J12" s="204" t="str">
        <f ca="1">CONCATENATE("infanterie"," ",VLOOKUP("crossbow",Zone_Traduction,ref_langue,FALSE))</f>
        <v>infanterie Crossbow</v>
      </c>
      <c r="K12" s="255">
        <v>1</v>
      </c>
      <c r="Q12" s="204" t="str">
        <f ca="1">CONCATENATE("infanterie"," ",VLOOKUP("Skilled swordsmen",Zone_Traduction,ref_langue,FALSE))</f>
        <v>infanterie Skilled Swordsmen</v>
      </c>
      <c r="R12" s="205">
        <v>2</v>
      </c>
      <c r="AF12" s="203">
        <v>10</v>
      </c>
      <c r="AG12" s="131">
        <f>(AG$2/$AF12)*5</f>
        <v>0.5</v>
      </c>
      <c r="AH12" s="131">
        <f t="shared" ref="AH12:AO12" si="1">(AH2/$AF12)*5</f>
        <v>1</v>
      </c>
      <c r="AI12" s="131">
        <f t="shared" si="1"/>
        <v>1.5</v>
      </c>
      <c r="AJ12" s="131">
        <f t="shared" si="1"/>
        <v>2</v>
      </c>
      <c r="AK12" s="131">
        <f t="shared" si="1"/>
        <v>2.5</v>
      </c>
      <c r="AL12" s="131">
        <f t="shared" si="1"/>
        <v>3</v>
      </c>
      <c r="AM12" s="131">
        <f t="shared" si="1"/>
        <v>3.5</v>
      </c>
      <c r="AN12" s="131">
        <f t="shared" si="1"/>
        <v>4</v>
      </c>
      <c r="AO12" s="131">
        <f t="shared" si="1"/>
        <v>4.5</v>
      </c>
      <c r="AP12" s="131">
        <v>10</v>
      </c>
      <c r="BH12" s="127"/>
      <c r="BI12" s="148" t="s">
        <v>782</v>
      </c>
      <c r="BJ12" s="148"/>
      <c r="BK12" s="148"/>
      <c r="BL12" s="148"/>
      <c r="BM12" s="148" t="str">
        <f ca="1">VLOOKUP(BL7,Attrition_Table,2)</f>
        <v>-</v>
      </c>
      <c r="BN12" s="148"/>
      <c r="BP12" s="218" t="s">
        <v>344</v>
      </c>
      <c r="BQ12" s="133"/>
      <c r="BR12" s="133"/>
      <c r="BS12" s="133"/>
      <c r="BT12" s="133"/>
      <c r="BU12" s="224" t="s">
        <v>351</v>
      </c>
      <c r="BV12" s="224" t="s">
        <v>351</v>
      </c>
      <c r="BW12" s="224" t="s">
        <v>351</v>
      </c>
      <c r="BX12" s="224" t="s">
        <v>351</v>
      </c>
      <c r="BY12" s="224" t="s">
        <v>352</v>
      </c>
      <c r="BZ12" s="224" t="s">
        <v>352</v>
      </c>
      <c r="CA12" s="224" t="s">
        <v>352</v>
      </c>
      <c r="CB12" s="224" t="s">
        <v>352</v>
      </c>
      <c r="CC12" s="224" t="s">
        <v>352</v>
      </c>
      <c r="CD12" s="224" t="s">
        <v>352</v>
      </c>
      <c r="CE12" s="224" t="s">
        <v>353</v>
      </c>
      <c r="CF12" s="224" t="s">
        <v>353</v>
      </c>
      <c r="CG12" s="224" t="s">
        <v>353</v>
      </c>
      <c r="CH12" s="224" t="s">
        <v>353</v>
      </c>
      <c r="CI12" s="224" t="s">
        <v>354</v>
      </c>
      <c r="CJ12" s="224" t="s">
        <v>354</v>
      </c>
      <c r="CK12" s="224" t="s">
        <v>354</v>
      </c>
      <c r="CL12" s="224" t="s">
        <v>355</v>
      </c>
      <c r="CM12" s="224" t="s">
        <v>355</v>
      </c>
      <c r="CN12" s="224" t="s">
        <v>355</v>
      </c>
      <c r="CO12" s="224" t="s">
        <v>355</v>
      </c>
      <c r="CP12" s="224" t="s">
        <v>355</v>
      </c>
      <c r="CQ12" s="224" t="s">
        <v>356</v>
      </c>
      <c r="CR12" s="224" t="s">
        <v>356</v>
      </c>
      <c r="CS12" s="224" t="s">
        <v>357</v>
      </c>
      <c r="CT12" s="224" t="s">
        <v>357</v>
      </c>
      <c r="CU12" s="224" t="s">
        <v>357</v>
      </c>
      <c r="CV12" s="224" t="s">
        <v>357</v>
      </c>
      <c r="CW12" s="224" t="s">
        <v>358</v>
      </c>
      <c r="CX12" s="224" t="s">
        <v>358</v>
      </c>
      <c r="CY12" s="224" t="s">
        <v>359</v>
      </c>
      <c r="CZ12" s="224" t="s">
        <v>359</v>
      </c>
      <c r="DA12" s="224" t="s">
        <v>360</v>
      </c>
      <c r="DB12" s="224" t="s">
        <v>360</v>
      </c>
      <c r="DC12" s="224" t="s">
        <v>360</v>
      </c>
      <c r="DD12" s="224" t="s">
        <v>361</v>
      </c>
      <c r="DE12" s="224" t="s">
        <v>361</v>
      </c>
      <c r="DF12" s="224" t="s">
        <v>361</v>
      </c>
      <c r="DG12" s="224" t="s">
        <v>362</v>
      </c>
      <c r="DH12" s="224" t="s">
        <v>362</v>
      </c>
      <c r="DI12" s="224" t="s">
        <v>362</v>
      </c>
      <c r="DJ12" s="224" t="s">
        <v>363</v>
      </c>
      <c r="DK12" s="224" t="s">
        <v>363</v>
      </c>
      <c r="DL12" s="224" t="s">
        <v>363</v>
      </c>
      <c r="DM12" s="224" t="s">
        <v>364</v>
      </c>
      <c r="DN12" s="224" t="s">
        <v>364</v>
      </c>
      <c r="DO12" s="224" t="s">
        <v>364</v>
      </c>
      <c r="DP12" s="224" t="s">
        <v>365</v>
      </c>
      <c r="DQ12" s="224" t="s">
        <v>365</v>
      </c>
      <c r="DR12" s="224" t="s">
        <v>365</v>
      </c>
      <c r="DS12" s="224" t="s">
        <v>366</v>
      </c>
      <c r="DT12" s="224" t="s">
        <v>366</v>
      </c>
      <c r="DU12" s="224" t="s">
        <v>366</v>
      </c>
      <c r="DV12" s="224" t="s">
        <v>366</v>
      </c>
      <c r="DW12" s="224" t="s">
        <v>366</v>
      </c>
      <c r="DX12" s="224" t="s">
        <v>367</v>
      </c>
      <c r="DY12" s="224" t="s">
        <v>367</v>
      </c>
      <c r="DZ12" s="224" t="s">
        <v>367</v>
      </c>
      <c r="EA12" s="224" t="s">
        <v>367</v>
      </c>
      <c r="EB12" s="224" t="s">
        <v>368</v>
      </c>
      <c r="EC12" s="224" t="s">
        <v>368</v>
      </c>
      <c r="ED12" s="224" t="s">
        <v>368</v>
      </c>
      <c r="EE12" s="256"/>
      <c r="EF12" s="256"/>
      <c r="EG12" s="256"/>
      <c r="EH12" s="256"/>
      <c r="EI12" s="256"/>
      <c r="EJ12" s="256"/>
      <c r="EK12" s="256"/>
      <c r="EL12" s="256"/>
      <c r="EM12" s="256"/>
      <c r="EN12" s="256"/>
      <c r="EO12" s="256"/>
      <c r="EP12" s="256"/>
      <c r="EQ12" s="256"/>
      <c r="ER12" s="256"/>
      <c r="ES12" s="256"/>
      <c r="ET12" s="256"/>
      <c r="EU12" s="256"/>
      <c r="EV12" s="257"/>
      <c r="EW12" s="256"/>
      <c r="EX12" s="256"/>
      <c r="EY12" s="256"/>
      <c r="EZ12" s="256"/>
      <c r="FA12" s="256"/>
      <c r="FB12" s="256"/>
      <c r="FC12" s="256"/>
      <c r="FD12" s="256"/>
      <c r="FE12" s="256"/>
      <c r="FF12" s="256"/>
      <c r="FG12" s="256"/>
      <c r="FH12" s="256"/>
      <c r="FI12" s="256"/>
      <c r="FJ12" s="256"/>
      <c r="FK12" s="256"/>
      <c r="FL12" s="256"/>
      <c r="FM12" s="256"/>
      <c r="FN12" s="256"/>
      <c r="FO12" s="256"/>
      <c r="FP12" s="256"/>
      <c r="FQ12" s="256"/>
      <c r="FR12" s="256"/>
      <c r="FS12" s="256"/>
      <c r="FT12" s="256"/>
      <c r="FU12" s="256"/>
      <c r="FV12" s="256"/>
      <c r="FW12" s="256"/>
      <c r="FX12" s="256"/>
      <c r="FY12" s="256"/>
      <c r="FZ12" s="257"/>
      <c r="GA12" s="258"/>
      <c r="GB12" s="258"/>
      <c r="GC12" s="258"/>
      <c r="GD12" s="258"/>
      <c r="GE12" s="258"/>
    </row>
    <row r="13" spans="1:218" ht="12.75" customHeight="1">
      <c r="A13" s="200" t="s">
        <v>27</v>
      </c>
      <c r="B13" s="204" t="str">
        <f ca="1">CONCATENATE("LF"," ",VLOOKUP("Armoured",Zone_Traduction,ref_langue,FALSE))</f>
        <v>LF Armoured</v>
      </c>
      <c r="C13" s="133">
        <v>13</v>
      </c>
      <c r="D13" s="133">
        <v>11</v>
      </c>
      <c r="E13" s="133">
        <v>7</v>
      </c>
      <c r="F13" s="133">
        <v>5</v>
      </c>
      <c r="G13" s="133">
        <v>0</v>
      </c>
      <c r="H13" s="213">
        <v>0</v>
      </c>
      <c r="J13" s="252" t="s">
        <v>1193</v>
      </c>
      <c r="K13" s="216">
        <v>1</v>
      </c>
      <c r="M13" s="259" t="s">
        <v>83</v>
      </c>
      <c r="N13" s="217"/>
      <c r="Q13" s="204" t="str">
        <f ca="1">CONCATENATE("infanterie"," ",VLOOKUP("Swordsmen",Zone_Traduction,ref_langue,FALSE))</f>
        <v>infanterie Swordsmen</v>
      </c>
      <c r="R13" s="205">
        <v>1</v>
      </c>
      <c r="AF13" s="203">
        <v>11</v>
      </c>
      <c r="AG13" s="131">
        <f>(AG$2/$AF13)*5</f>
        <v>0.45454545454545459</v>
      </c>
      <c r="AH13" s="131">
        <f t="shared" ref="AH13:AP13" si="2">(AH$2/$AF13)*5</f>
        <v>0.90909090909090917</v>
      </c>
      <c r="AI13" s="131">
        <f t="shared" si="2"/>
        <v>1.3636363636363635</v>
      </c>
      <c r="AJ13" s="131">
        <f t="shared" si="2"/>
        <v>1.8181818181818183</v>
      </c>
      <c r="AK13" s="131">
        <f t="shared" si="2"/>
        <v>2.2727272727272725</v>
      </c>
      <c r="AL13" s="131">
        <f t="shared" si="2"/>
        <v>2.7272727272727271</v>
      </c>
      <c r="AM13" s="131">
        <f t="shared" si="2"/>
        <v>3.1818181818181817</v>
      </c>
      <c r="AN13" s="131">
        <f t="shared" si="2"/>
        <v>3.6363636363636367</v>
      </c>
      <c r="AO13" s="131">
        <f t="shared" si="2"/>
        <v>4.0909090909090908</v>
      </c>
      <c r="AP13" s="131">
        <f t="shared" si="2"/>
        <v>4.545454545454545</v>
      </c>
      <c r="AQ13" s="131">
        <v>10</v>
      </c>
      <c r="BI13" s="127">
        <f ca="1">IF('Liste Armée'!P23="-",0,IF(OR('Liste Armée'!E23="LH",'Liste Armée'!E23="LF"),0.5,IF('Liste Armée'!E23="SCh",0,1)))</f>
        <v>0</v>
      </c>
      <c r="BJ13" s="127" t="str">
        <f>IF(OR('Liste Armée'!$E23="HF",'Liste Armée'!$E23="MF",'Liste Armée'!$E23="LF"),"infanterie",IF(OR('Liste Armée'!$E23="Kn",'Liste Armée'!$E23="Ct",'Liste Armée'!$E23="Cv",'Liste Armée'!$E23="LH",'Liste Armée'!$E23="LCh",'Liste Armée'!$E23="HCh",'Liste Armée'!$E23="SCh",'Liste Armée'!$E23="EL"),"montes",IF(OR('Liste Armée'!$E23="BWG"),"BWG","special")))</f>
        <v>special</v>
      </c>
      <c r="BK13" s="127">
        <f ca="1">VLOOKUP('Liste Armée'!$E23&amp;" "&amp;'Liste Armée'!$F23,Table_budget,MATCH('Liste Armée'!$G23,Colonnes_table_budget,FALSE),FALSE)
   +IF('Liste Armée'!$H23=VLOOKUP("Drilled",Zone_Traduction,ref_langue,FALSE),VLOOKUP('Liste Armée'!$E23&amp;" "&amp;'Liste Armée'!$F23,Table_budget,MATCH(VLOOKUP("Drilled",Zone_Traduction,ref_langue,FALSE),Colonnes_table_budget,FALSE),FALSE),0)
   +IF(ISERROR(VLOOKUP(BJ13&amp;" "&amp;$G13,Table_armes_tir,2,FALSE)),0,VLOOKUP(BJ13&amp;" "&amp;$G13,Table_armes_tir,2,FALSE))
   +IF(ISERROR(VLOOKUP(BJ13&amp;" "&amp;$I13,Table_armes_melee,2,FALSE)),0,VLOOKUP(BJ13&amp;" "&amp;$I13,Table_armes_melee,2,FALSE))
   +IF(ISERROR(VLOOKUP($J13,Table_special,2,FALSE)),0,VLOOKUP($J13,Table_special,2,FALSE))</f>
        <v>0</v>
      </c>
      <c r="BL13" s="127">
        <f ca="1">'Liste Armée'!$M23*'Liste Armée'!$L23</f>
        <v>0</v>
      </c>
      <c r="BN13" s="127">
        <f>IF(OR('Liste Armée'!$E23="CV",'Liste Armée'!$E23="LH",'Liste Armée'!$E23="LCH"),'Liste Armée'!$L23,0)</f>
        <v>0</v>
      </c>
      <c r="BP13" s="218" t="s">
        <v>345</v>
      </c>
      <c r="BQ13" s="133"/>
      <c r="BR13" s="133"/>
      <c r="BS13" s="133"/>
      <c r="BT13" s="133"/>
      <c r="BU13" s="224" t="s">
        <v>369</v>
      </c>
      <c r="BV13" s="224" t="s">
        <v>369</v>
      </c>
      <c r="BW13" s="224" t="s">
        <v>369</v>
      </c>
      <c r="BX13" s="224" t="s">
        <v>369</v>
      </c>
      <c r="BY13" s="224" t="s">
        <v>369</v>
      </c>
      <c r="BZ13" s="224" t="s">
        <v>370</v>
      </c>
      <c r="CA13" s="224" t="s">
        <v>370</v>
      </c>
      <c r="CB13" s="224" t="s">
        <v>370</v>
      </c>
      <c r="CC13" s="224" t="s">
        <v>370</v>
      </c>
      <c r="CD13" s="224" t="s">
        <v>371</v>
      </c>
      <c r="CE13" s="224" t="s">
        <v>371</v>
      </c>
      <c r="CF13" s="224" t="s">
        <v>371</v>
      </c>
      <c r="CG13" s="224" t="s">
        <v>371</v>
      </c>
      <c r="CH13" s="224" t="s">
        <v>372</v>
      </c>
      <c r="CI13" s="224" t="s">
        <v>372</v>
      </c>
      <c r="CJ13" s="224" t="s">
        <v>372</v>
      </c>
      <c r="CK13" s="224" t="s">
        <v>374</v>
      </c>
      <c r="CL13" s="224" t="s">
        <v>374</v>
      </c>
      <c r="CM13" s="224" t="s">
        <v>374</v>
      </c>
      <c r="CN13" s="224" t="s">
        <v>373</v>
      </c>
      <c r="CO13" s="224" t="s">
        <v>373</v>
      </c>
      <c r="CP13" s="224" t="s">
        <v>375</v>
      </c>
      <c r="CQ13" s="224" t="s">
        <v>376</v>
      </c>
      <c r="CR13" s="224" t="s">
        <v>376</v>
      </c>
      <c r="CS13" s="224" t="s">
        <v>376</v>
      </c>
      <c r="CT13" s="224" t="s">
        <v>377</v>
      </c>
      <c r="CU13" s="224" t="s">
        <v>377</v>
      </c>
      <c r="CV13" s="224" t="s">
        <v>377</v>
      </c>
      <c r="CW13" s="224" t="s">
        <v>378</v>
      </c>
      <c r="CX13" s="224" t="s">
        <v>378</v>
      </c>
      <c r="CY13" s="224" t="s">
        <v>378</v>
      </c>
      <c r="CZ13" s="224" t="s">
        <v>378</v>
      </c>
      <c r="DA13" s="224" t="s">
        <v>378</v>
      </c>
      <c r="DB13" s="224" t="s">
        <v>378</v>
      </c>
      <c r="DC13" s="224" t="s">
        <v>379</v>
      </c>
      <c r="DD13" s="224" t="s">
        <v>379</v>
      </c>
      <c r="DE13" s="224" t="s">
        <v>380</v>
      </c>
      <c r="DF13" s="224" t="s">
        <v>380</v>
      </c>
      <c r="DG13" s="224" t="s">
        <v>381</v>
      </c>
      <c r="DH13" s="224" t="s">
        <v>381</v>
      </c>
      <c r="DI13" s="224" t="s">
        <v>382</v>
      </c>
      <c r="DJ13" s="224" t="s">
        <v>382</v>
      </c>
      <c r="DK13" s="224" t="s">
        <v>382</v>
      </c>
      <c r="DL13" s="224" t="s">
        <v>383</v>
      </c>
      <c r="DM13" s="224" t="s">
        <v>383</v>
      </c>
      <c r="DN13" s="224" t="s">
        <v>383</v>
      </c>
      <c r="DO13" s="224" t="s">
        <v>383</v>
      </c>
      <c r="DP13" s="224" t="s">
        <v>384</v>
      </c>
      <c r="DQ13" s="224" t="s">
        <v>384</v>
      </c>
      <c r="DR13" s="224" t="s">
        <v>384</v>
      </c>
      <c r="DS13" s="224" t="s">
        <v>385</v>
      </c>
      <c r="DT13" s="224" t="s">
        <v>385</v>
      </c>
      <c r="DU13" s="224" t="s">
        <v>385</v>
      </c>
      <c r="DV13" s="224" t="s">
        <v>385</v>
      </c>
      <c r="DW13" s="224" t="s">
        <v>385</v>
      </c>
      <c r="DX13" s="224" t="s">
        <v>386</v>
      </c>
      <c r="DY13" s="224" t="s">
        <v>386</v>
      </c>
      <c r="DZ13" s="224" t="s">
        <v>386</v>
      </c>
      <c r="EA13" s="224" t="s">
        <v>387</v>
      </c>
      <c r="EB13" s="224" t="s">
        <v>387</v>
      </c>
      <c r="EC13" s="224" t="s">
        <v>387</v>
      </c>
      <c r="ED13" s="224" t="s">
        <v>388</v>
      </c>
      <c r="EE13" s="224" t="s">
        <v>388</v>
      </c>
      <c r="EF13" s="224" t="s">
        <v>389</v>
      </c>
      <c r="EG13" s="224" t="s">
        <v>389</v>
      </c>
      <c r="EH13" s="224" t="s">
        <v>389</v>
      </c>
      <c r="EI13" s="224" t="s">
        <v>389</v>
      </c>
      <c r="EJ13" s="224" t="s">
        <v>390</v>
      </c>
      <c r="EK13" s="224" t="s">
        <v>390</v>
      </c>
      <c r="EL13" s="224" t="s">
        <v>390</v>
      </c>
      <c r="EM13" s="224" t="s">
        <v>390</v>
      </c>
      <c r="EN13" s="224" t="s">
        <v>391</v>
      </c>
      <c r="EO13" s="224" t="s">
        <v>391</v>
      </c>
      <c r="EP13" s="224" t="s">
        <v>392</v>
      </c>
      <c r="EQ13" s="224" t="s">
        <v>392</v>
      </c>
      <c r="ER13" s="224" t="s">
        <v>392</v>
      </c>
      <c r="ES13" s="224" t="s">
        <v>393</v>
      </c>
      <c r="ET13" s="224" t="s">
        <v>393</v>
      </c>
      <c r="EU13" s="224" t="s">
        <v>393</v>
      </c>
      <c r="EV13" s="254" t="s">
        <v>394</v>
      </c>
      <c r="EW13" s="254" t="s">
        <v>394</v>
      </c>
      <c r="EX13" s="254" t="s">
        <v>394</v>
      </c>
      <c r="EY13" s="260"/>
      <c r="EZ13" s="260"/>
      <c r="FA13" s="260"/>
      <c r="FB13" s="260"/>
      <c r="FC13" s="260"/>
      <c r="FD13" s="260"/>
      <c r="FE13" s="260"/>
      <c r="FF13" s="260"/>
      <c r="FG13" s="260"/>
      <c r="FH13" s="260"/>
      <c r="FI13" s="260"/>
      <c r="FJ13" s="260"/>
      <c r="FK13" s="260"/>
      <c r="FL13" s="260"/>
      <c r="FM13" s="260"/>
      <c r="FN13" s="260"/>
      <c r="FO13" s="260"/>
      <c r="FP13" s="260"/>
      <c r="FQ13" s="260"/>
      <c r="FR13" s="260"/>
      <c r="FS13" s="260"/>
      <c r="FT13" s="260"/>
      <c r="FU13" s="260"/>
      <c r="FV13" s="260"/>
      <c r="FW13" s="260"/>
      <c r="FX13" s="260"/>
      <c r="FY13" s="260"/>
      <c r="FZ13" s="261"/>
      <c r="GA13" s="262"/>
      <c r="GB13" s="262"/>
      <c r="GC13" s="262"/>
      <c r="GD13" s="262"/>
      <c r="GE13" s="262"/>
    </row>
    <row r="14" spans="1:218" ht="12.75" customHeight="1">
      <c r="A14" s="200" t="s">
        <v>27</v>
      </c>
      <c r="B14" s="204" t="str">
        <f ca="1">CONCATENATE("LF"," ",VLOOKUP("Protected",Zone_Traduction,ref_langue,FALSE))</f>
        <v>LF Protected</v>
      </c>
      <c r="C14" s="133">
        <v>10</v>
      </c>
      <c r="D14" s="133">
        <v>8</v>
      </c>
      <c r="E14" s="133">
        <v>5</v>
      </c>
      <c r="F14" s="133">
        <v>3</v>
      </c>
      <c r="G14" s="133">
        <v>0</v>
      </c>
      <c r="H14" s="213">
        <v>0</v>
      </c>
      <c r="J14" s="204" t="str">
        <f ca="1">CONCATENATE("infanterie"," ",VLOOKUP("Javelins",Zone_Traduction,ref_langue,FALSE))</f>
        <v>infanterie Javelins</v>
      </c>
      <c r="K14" s="255">
        <v>0</v>
      </c>
      <c r="M14" s="263">
        <v>0</v>
      </c>
      <c r="N14" s="213">
        <v>0</v>
      </c>
      <c r="Q14" s="204" t="str">
        <f ca="1">CONCATENATE("montes"," ",VLOOKUP("Lancer Swordsmen",Zone_Traduction,ref_langue,FALSE))</f>
        <v>montes Lancer Swordsmen</v>
      </c>
      <c r="R14" s="205">
        <v>3</v>
      </c>
      <c r="AF14" s="203">
        <v>12</v>
      </c>
      <c r="AG14" s="131">
        <f t="shared" ref="AG14:AV25" si="3">(AG$2/$AF14)*5</f>
        <v>0.41666666666666663</v>
      </c>
      <c r="AH14" s="131">
        <f t="shared" si="3"/>
        <v>0.83333333333333326</v>
      </c>
      <c r="AI14" s="131">
        <f t="shared" si="3"/>
        <v>1.25</v>
      </c>
      <c r="AJ14" s="131">
        <f t="shared" si="3"/>
        <v>1.6666666666666665</v>
      </c>
      <c r="AK14" s="131">
        <f t="shared" si="3"/>
        <v>2.0833333333333335</v>
      </c>
      <c r="AL14" s="131">
        <f t="shared" si="3"/>
        <v>2.5</v>
      </c>
      <c r="AM14" s="131">
        <f t="shared" si="3"/>
        <v>2.916666666666667</v>
      </c>
      <c r="AN14" s="131">
        <f t="shared" si="3"/>
        <v>3.333333333333333</v>
      </c>
      <c r="AO14" s="131">
        <f t="shared" si="3"/>
        <v>3.75</v>
      </c>
      <c r="AP14" s="131">
        <f t="shared" si="3"/>
        <v>4.166666666666667</v>
      </c>
      <c r="AQ14" s="131">
        <f t="shared" si="3"/>
        <v>4.583333333333333</v>
      </c>
      <c r="AR14" s="131">
        <v>10</v>
      </c>
      <c r="BI14" s="127">
        <f>IF('Liste Armée'!P24="-",0,IF(OR('Liste Armée'!E24="LH",'Liste Armée'!E24="LF"),0.5,IF('Liste Armée'!E24="SCh",0,1)))</f>
        <v>0</v>
      </c>
      <c r="BJ14" s="127" t="str">
        <f>IF(OR('Liste Armée'!$E24="HF",'Liste Armée'!$E24="MF",'Liste Armée'!$E24="LF"),"infanterie",IF(OR('Liste Armée'!$E24="Kn",'Liste Armée'!$E24="Ct",'Liste Armée'!$E24="Cv",'Liste Armée'!$E24="LH",'Liste Armée'!$E24="LCh",'Liste Armée'!$E24="HCh",'Liste Armée'!$E24="SCh",'Liste Armée'!$E24="EL"),"montes",IF(OR('Liste Armée'!$E24="BWG"),"BWG","special")))</f>
        <v>special</v>
      </c>
      <c r="BK14" s="127">
        <f ca="1">VLOOKUP('Liste Armée'!$E24&amp;" "&amp;'Liste Armée'!$F24,Table_budget,MATCH('Liste Armée'!$G24,Colonnes_table_budget,FALSE),FALSE)
   +IF('Liste Armée'!$H24=VLOOKUP("Drilled",Zone_Traduction,ref_langue,FALSE),VLOOKUP('Liste Armée'!$E24&amp;" "&amp;'Liste Armée'!$F24,Table_budget,MATCH(VLOOKUP("Drilled",Zone_Traduction,ref_langue,FALSE),Colonnes_table_budget,FALSE),FALSE),0)
   +IF(ISERROR(VLOOKUP(BJ14&amp;" "&amp;$G14,Table_armes_tir,2,FALSE)),0,VLOOKUP(BJ14&amp;" "&amp;$G14,Table_armes_tir,2,FALSE))
   +IF(ISERROR(VLOOKUP(BJ14&amp;" "&amp;$I14,Table_armes_melee,2,FALSE)),0,VLOOKUP(BJ14&amp;" "&amp;$I14,Table_armes_melee,2,FALSE))
   +IF(ISERROR(VLOOKUP($J14,Table_special,2,FALSE)),0,VLOOKUP($J14,Table_special,2,FALSE))</f>
        <v>0</v>
      </c>
      <c r="BL14" s="127">
        <f ca="1">'Liste Armée'!$M24*'Liste Armée'!$L24</f>
        <v>0</v>
      </c>
      <c r="BM14" s="126"/>
      <c r="BN14" s="127">
        <f>IF(OR('Liste Armée'!$E24="CV",'Liste Armée'!$E24="LH",'Liste Armée'!$E24="LCH"),'Liste Armée'!$L24,0)</f>
        <v>0</v>
      </c>
      <c r="BP14" s="218" t="s">
        <v>435</v>
      </c>
      <c r="BQ14" s="215"/>
      <c r="BR14" s="133"/>
      <c r="BS14" s="133"/>
      <c r="BT14" s="133"/>
      <c r="BU14" s="224" t="s">
        <v>547</v>
      </c>
      <c r="BV14" s="224" t="s">
        <v>548</v>
      </c>
      <c r="BW14" s="224" t="s">
        <v>548</v>
      </c>
      <c r="BX14" s="224" t="s">
        <v>548</v>
      </c>
      <c r="BY14" s="224" t="s">
        <v>548</v>
      </c>
      <c r="BZ14" s="224" t="s">
        <v>549</v>
      </c>
      <c r="CA14" s="224" t="s">
        <v>549</v>
      </c>
      <c r="CB14" s="224" t="s">
        <v>549</v>
      </c>
      <c r="CC14" s="224" t="s">
        <v>549</v>
      </c>
      <c r="CD14" s="224" t="s">
        <v>550</v>
      </c>
      <c r="CE14" s="224" t="s">
        <v>550</v>
      </c>
      <c r="CF14" s="224" t="s">
        <v>550</v>
      </c>
      <c r="CG14" s="224" t="s">
        <v>551</v>
      </c>
      <c r="CH14" s="224" t="s">
        <v>552</v>
      </c>
      <c r="CI14" s="224" t="s">
        <v>552</v>
      </c>
      <c r="CJ14" s="224" t="s">
        <v>552</v>
      </c>
      <c r="CK14" s="224" t="s">
        <v>553</v>
      </c>
      <c r="CL14" s="224" t="s">
        <v>553</v>
      </c>
      <c r="CM14" s="224" t="s">
        <v>553</v>
      </c>
      <c r="CN14" s="224" t="s">
        <v>553</v>
      </c>
      <c r="CO14" s="224" t="s">
        <v>554</v>
      </c>
      <c r="CP14" s="224" t="s">
        <v>554</v>
      </c>
      <c r="CQ14" s="224" t="s">
        <v>554</v>
      </c>
      <c r="CR14" s="224" t="s">
        <v>554</v>
      </c>
      <c r="CS14" s="224" t="s">
        <v>554</v>
      </c>
      <c r="CT14" s="224" t="s">
        <v>555</v>
      </c>
      <c r="CU14" s="224" t="s">
        <v>555</v>
      </c>
      <c r="CV14" s="224" t="s">
        <v>555</v>
      </c>
      <c r="CW14" s="224" t="s">
        <v>556</v>
      </c>
      <c r="CX14" s="224" t="s">
        <v>556</v>
      </c>
      <c r="CY14" s="224" t="s">
        <v>556</v>
      </c>
      <c r="CZ14" s="224" t="s">
        <v>556</v>
      </c>
      <c r="DA14" s="224" t="s">
        <v>557</v>
      </c>
      <c r="DB14" s="224" t="s">
        <v>557</v>
      </c>
      <c r="DC14" s="224" t="s">
        <v>557</v>
      </c>
      <c r="DD14" s="224" t="s">
        <v>558</v>
      </c>
      <c r="DE14" s="224" t="s">
        <v>558</v>
      </c>
      <c r="DF14" s="224" t="s">
        <v>558</v>
      </c>
      <c r="DG14" s="224" t="s">
        <v>559</v>
      </c>
      <c r="DH14" s="224" t="s">
        <v>559</v>
      </c>
      <c r="DI14" s="224" t="s">
        <v>560</v>
      </c>
      <c r="DJ14" s="224" t="s">
        <v>560</v>
      </c>
      <c r="DK14" s="224" t="s">
        <v>560</v>
      </c>
      <c r="DL14" s="224" t="s">
        <v>561</v>
      </c>
      <c r="DM14" s="224" t="s">
        <v>561</v>
      </c>
      <c r="DN14" s="224" t="s">
        <v>561</v>
      </c>
      <c r="DO14" s="224" t="s">
        <v>562</v>
      </c>
      <c r="DP14" s="224" t="s">
        <v>562</v>
      </c>
      <c r="DQ14" s="224" t="s">
        <v>563</v>
      </c>
      <c r="DR14" s="224" t="s">
        <v>563</v>
      </c>
      <c r="DS14" s="224" t="s">
        <v>564</v>
      </c>
      <c r="DT14" s="224" t="s">
        <v>564</v>
      </c>
      <c r="DU14" s="224" t="s">
        <v>564</v>
      </c>
      <c r="DV14" s="224" t="s">
        <v>565</v>
      </c>
      <c r="DW14" s="224" t="s">
        <v>565</v>
      </c>
      <c r="DX14" s="224" t="s">
        <v>565</v>
      </c>
      <c r="DY14" s="224" t="s">
        <v>566</v>
      </c>
      <c r="DZ14" s="224" t="s">
        <v>566</v>
      </c>
      <c r="EA14" s="224" t="s">
        <v>567</v>
      </c>
      <c r="EB14" s="224" t="s">
        <v>567</v>
      </c>
      <c r="EC14" s="224" t="s">
        <v>567</v>
      </c>
      <c r="ED14" s="224" t="s">
        <v>568</v>
      </c>
      <c r="EE14" s="224" t="s">
        <v>568</v>
      </c>
      <c r="EF14" s="224" t="s">
        <v>568</v>
      </c>
      <c r="EG14" s="224" t="s">
        <v>568</v>
      </c>
      <c r="EH14" s="224" t="s">
        <v>568</v>
      </c>
      <c r="EI14" s="224" t="s">
        <v>568</v>
      </c>
      <c r="EJ14" s="224" t="s">
        <v>568</v>
      </c>
      <c r="EK14" s="224" t="s">
        <v>569</v>
      </c>
      <c r="EL14" s="224" t="s">
        <v>569</v>
      </c>
      <c r="EM14" s="224" t="s">
        <v>570</v>
      </c>
      <c r="EN14" s="224" t="s">
        <v>570</v>
      </c>
      <c r="EO14" s="224" t="s">
        <v>570</v>
      </c>
      <c r="EP14" s="264"/>
      <c r="EQ14" s="264"/>
      <c r="ER14" s="264"/>
      <c r="ES14" s="264"/>
      <c r="ET14" s="264"/>
      <c r="EU14" s="264"/>
      <c r="EV14" s="265"/>
      <c r="EW14" s="264"/>
      <c r="EX14" s="264"/>
      <c r="EY14" s="264"/>
      <c r="EZ14" s="264"/>
      <c r="FA14" s="264"/>
      <c r="FB14" s="264"/>
      <c r="FC14" s="264"/>
      <c r="FD14" s="264"/>
      <c r="FE14" s="264"/>
      <c r="FF14" s="264"/>
      <c r="FG14" s="264"/>
      <c r="FH14" s="264"/>
      <c r="FI14" s="264"/>
      <c r="FJ14" s="264"/>
      <c r="FK14" s="264"/>
      <c r="FL14" s="264"/>
      <c r="FM14" s="264"/>
      <c r="FN14" s="264"/>
      <c r="FO14" s="264"/>
      <c r="FP14" s="264"/>
      <c r="FQ14" s="264"/>
      <c r="FR14" s="264"/>
      <c r="FS14" s="264"/>
      <c r="FT14" s="264"/>
      <c r="FU14" s="264"/>
      <c r="FV14" s="264"/>
      <c r="FW14" s="264"/>
      <c r="FX14" s="264"/>
      <c r="FY14" s="264"/>
      <c r="FZ14" s="265"/>
      <c r="GA14" s="266"/>
      <c r="GB14" s="266"/>
      <c r="GC14" s="266"/>
      <c r="GD14" s="266"/>
      <c r="GE14" s="266"/>
    </row>
    <row r="15" spans="1:218" ht="12.75" customHeight="1">
      <c r="A15" s="200" t="s">
        <v>27</v>
      </c>
      <c r="B15" s="204" t="str">
        <f ca="1">CONCATENATE("LF"," ",VLOOKUP("Unprotected",Zone_Traduction,ref_langue,FALSE))</f>
        <v>LF Unprotected</v>
      </c>
      <c r="C15" s="133">
        <v>7</v>
      </c>
      <c r="D15" s="133">
        <v>6</v>
      </c>
      <c r="E15" s="133">
        <v>4</v>
      </c>
      <c r="F15" s="133">
        <v>2</v>
      </c>
      <c r="G15" s="133">
        <v>0</v>
      </c>
      <c r="H15" s="213">
        <v>0</v>
      </c>
      <c r="J15" s="204" t="str">
        <f ca="1">CONCATENATE("infanterie"," ",VLOOKUP("Longbow",Zone_Traduction,ref_langue,FALSE))</f>
        <v>infanterie Longbow</v>
      </c>
      <c r="K15" s="216">
        <v>2</v>
      </c>
      <c r="M15" s="263">
        <v>10</v>
      </c>
      <c r="N15" s="213">
        <v>1</v>
      </c>
      <c r="Q15" s="204" t="str">
        <f ca="1">CONCATENATE("montes"," ",VLOOKUP("Light spear",Zone_Traduction,ref_langue,FALSE))</f>
        <v>montes Light Spear</v>
      </c>
      <c r="R15" s="205">
        <v>1</v>
      </c>
      <c r="AF15" s="203">
        <v>13</v>
      </c>
      <c r="AG15" s="131">
        <f t="shared" si="3"/>
        <v>0.38461538461538464</v>
      </c>
      <c r="AH15" s="131">
        <f t="shared" si="3"/>
        <v>0.76923076923076927</v>
      </c>
      <c r="AI15" s="131">
        <f t="shared" si="3"/>
        <v>1.153846153846154</v>
      </c>
      <c r="AJ15" s="131">
        <f t="shared" si="3"/>
        <v>1.5384615384615385</v>
      </c>
      <c r="AK15" s="131">
        <f t="shared" si="3"/>
        <v>1.9230769230769231</v>
      </c>
      <c r="AL15" s="131">
        <f t="shared" si="3"/>
        <v>2.3076923076923079</v>
      </c>
      <c r="AM15" s="131">
        <f t="shared" si="3"/>
        <v>2.6923076923076921</v>
      </c>
      <c r="AN15" s="131">
        <f t="shared" si="3"/>
        <v>3.0769230769230771</v>
      </c>
      <c r="AO15" s="131">
        <f t="shared" si="3"/>
        <v>3.4615384615384617</v>
      </c>
      <c r="AP15" s="131">
        <f t="shared" si="3"/>
        <v>3.8461538461538463</v>
      </c>
      <c r="AQ15" s="131">
        <f t="shared" si="3"/>
        <v>4.2307692307692308</v>
      </c>
      <c r="AR15" s="131">
        <f t="shared" si="3"/>
        <v>4.6153846153846159</v>
      </c>
      <c r="AS15" s="131">
        <v>10</v>
      </c>
      <c r="BI15" s="127">
        <f>IF('Liste Armée'!P25="-",0,IF(OR('Liste Armée'!E25="LH",'Liste Armée'!E25="LF"),0.5,IF('Liste Armée'!E25="SCh",0,1)))</f>
        <v>0</v>
      </c>
      <c r="BJ15" s="127" t="str">
        <f>IF(OR('Liste Armée'!$E25="HF",'Liste Armée'!$E25="MF",'Liste Armée'!$E25="LF"),"infanterie",IF(OR('Liste Armée'!$E25="Kn",'Liste Armée'!$E25="Ct",'Liste Armée'!$E25="Cv",'Liste Armée'!$E25="LH",'Liste Armée'!$E25="LCh",'Liste Armée'!$E25="HCh",'Liste Armée'!$E25="SCh",'Liste Armée'!$E25="EL"),"montes",IF(OR('Liste Armée'!$E25="BWG"),"BWG","special")))</f>
        <v>special</v>
      </c>
      <c r="BK15" s="127">
        <f ca="1">VLOOKUP('Liste Armée'!$E25&amp;" "&amp;'Liste Armée'!$F25,Table_budget,MATCH('Liste Armée'!$G25,Colonnes_table_budget,FALSE),FALSE)
   +IF('Liste Armée'!$H25=VLOOKUP("Drilled",Zone_Traduction,ref_langue,FALSE),VLOOKUP('Liste Armée'!$E25&amp;" "&amp;'Liste Armée'!$F25,Table_budget,MATCH(VLOOKUP("Drilled",Zone_Traduction,ref_langue,FALSE),Colonnes_table_budget,FALSE),FALSE),0)
   +IF(ISERROR(VLOOKUP(BJ15&amp;" "&amp;$G15,Table_armes_tir,2,FALSE)),0,VLOOKUP(BJ15&amp;" "&amp;$G15,Table_armes_tir,2,FALSE))
   +IF(ISERROR(VLOOKUP(BJ15&amp;" "&amp;$I15,Table_armes_melee,2,FALSE)),0,VLOOKUP(BJ15&amp;" "&amp;$I15,Table_armes_melee,2,FALSE))
   +IF(ISERROR(VLOOKUP($J15,Table_special,2,FALSE)),0,VLOOKUP($J15,Table_special,2,FALSE))</f>
        <v>0</v>
      </c>
      <c r="BL15" s="127">
        <f ca="1">'Liste Armée'!$M25*'Liste Armée'!$L25</f>
        <v>0</v>
      </c>
      <c r="BM15" s="126"/>
      <c r="BN15" s="127">
        <f>IF(OR('Liste Armée'!$E25="CV",'Liste Armée'!$E25="LH",'Liste Armée'!$E25="LCH"),'Liste Armée'!$L25,0)</f>
        <v>0</v>
      </c>
      <c r="BP15" s="241" t="s">
        <v>347</v>
      </c>
      <c r="BQ15" s="133"/>
      <c r="BR15" s="133"/>
      <c r="BS15" s="133"/>
      <c r="BT15" s="133" t="s">
        <v>437</v>
      </c>
      <c r="BU15" s="133" t="s">
        <v>437</v>
      </c>
      <c r="BV15" s="133" t="s">
        <v>437</v>
      </c>
      <c r="BW15" s="133" t="s">
        <v>437</v>
      </c>
      <c r="BX15" s="133" t="s">
        <v>438</v>
      </c>
      <c r="BY15" s="133" t="s">
        <v>438</v>
      </c>
      <c r="BZ15" s="133" t="s">
        <v>438</v>
      </c>
      <c r="CA15" s="133" t="s">
        <v>439</v>
      </c>
      <c r="CB15" s="133" t="s">
        <v>439</v>
      </c>
      <c r="CC15" s="133" t="s">
        <v>439</v>
      </c>
      <c r="CD15" s="133" t="s">
        <v>439</v>
      </c>
      <c r="CE15" s="133" t="s">
        <v>440</v>
      </c>
      <c r="CF15" s="133" t="s">
        <v>440</v>
      </c>
      <c r="CG15" s="133" t="s">
        <v>441</v>
      </c>
      <c r="CH15" s="133" t="s">
        <v>441</v>
      </c>
      <c r="CI15" s="133" t="s">
        <v>441</v>
      </c>
      <c r="CJ15" s="133" t="s">
        <v>442</v>
      </c>
      <c r="CK15" s="133" t="s">
        <v>442</v>
      </c>
      <c r="CL15" s="133" t="s">
        <v>443</v>
      </c>
      <c r="CM15" s="133" t="s">
        <v>443</v>
      </c>
      <c r="CN15" s="133" t="s">
        <v>443</v>
      </c>
      <c r="CO15" s="133" t="s">
        <v>443</v>
      </c>
      <c r="CP15" s="133" t="s">
        <v>444</v>
      </c>
      <c r="CQ15" s="133" t="s">
        <v>444</v>
      </c>
      <c r="CR15" s="133" t="s">
        <v>445</v>
      </c>
      <c r="CS15" s="133" t="s">
        <v>445</v>
      </c>
      <c r="CT15" s="133" t="s">
        <v>445</v>
      </c>
      <c r="CU15" s="133" t="s">
        <v>445</v>
      </c>
      <c r="CV15" s="133" t="s">
        <v>445</v>
      </c>
      <c r="CW15" s="133" t="s">
        <v>445</v>
      </c>
      <c r="CX15" s="133" t="s">
        <v>446</v>
      </c>
      <c r="CY15" s="133" t="s">
        <v>446</v>
      </c>
      <c r="CZ15" s="133" t="s">
        <v>447</v>
      </c>
      <c r="DA15" s="133" t="s">
        <v>447</v>
      </c>
      <c r="DB15" s="133" t="s">
        <v>447</v>
      </c>
      <c r="DC15" s="133" t="s">
        <v>447</v>
      </c>
      <c r="DD15" s="133" t="s">
        <v>448</v>
      </c>
      <c r="DE15" s="224" t="s">
        <v>449</v>
      </c>
      <c r="DF15" s="224" t="s">
        <v>449</v>
      </c>
      <c r="DG15" s="133" t="s">
        <v>450</v>
      </c>
      <c r="DH15" s="133" t="s">
        <v>450</v>
      </c>
      <c r="DI15" s="219" t="s">
        <v>451</v>
      </c>
      <c r="DJ15" s="219" t="s">
        <v>451</v>
      </c>
      <c r="DK15" s="219" t="s">
        <v>451</v>
      </c>
      <c r="DL15" s="224" t="s">
        <v>1152</v>
      </c>
      <c r="DM15" s="224" t="s">
        <v>1152</v>
      </c>
      <c r="DN15" s="224" t="s">
        <v>1152</v>
      </c>
      <c r="DO15" s="133" t="s">
        <v>452</v>
      </c>
      <c r="DP15" s="133" t="s">
        <v>452</v>
      </c>
      <c r="DQ15" s="133" t="s">
        <v>453</v>
      </c>
      <c r="DR15" s="133" t="s">
        <v>453</v>
      </c>
      <c r="DS15" s="133" t="s">
        <v>453</v>
      </c>
      <c r="DT15" s="133" t="s">
        <v>453</v>
      </c>
      <c r="DU15" s="133" t="s">
        <v>453</v>
      </c>
      <c r="DV15" s="133" t="s">
        <v>453</v>
      </c>
      <c r="DW15" s="267"/>
      <c r="DX15" s="267"/>
      <c r="DY15" s="267"/>
      <c r="DZ15" s="267"/>
      <c r="EA15" s="267"/>
      <c r="EB15" s="267"/>
      <c r="EC15" s="267"/>
      <c r="ED15" s="267"/>
      <c r="EE15" s="267"/>
      <c r="EF15" s="267"/>
      <c r="EG15" s="267"/>
      <c r="EH15" s="267"/>
      <c r="EI15" s="267"/>
      <c r="EJ15" s="267"/>
      <c r="EK15" s="267"/>
      <c r="EL15" s="267"/>
      <c r="EM15" s="267"/>
      <c r="EN15" s="267"/>
      <c r="EO15" s="267"/>
      <c r="EP15" s="267"/>
      <c r="EQ15" s="267"/>
      <c r="ER15" s="267"/>
      <c r="ES15" s="267"/>
      <c r="ET15" s="267"/>
      <c r="EU15" s="267"/>
      <c r="EV15" s="268"/>
      <c r="EW15" s="267"/>
      <c r="EX15" s="267"/>
      <c r="EY15" s="267"/>
      <c r="EZ15" s="267"/>
      <c r="FA15" s="267"/>
      <c r="FB15" s="267"/>
      <c r="FC15" s="267"/>
      <c r="FD15" s="267"/>
      <c r="FE15" s="267"/>
      <c r="FF15" s="267"/>
      <c r="FG15" s="267"/>
      <c r="FH15" s="267"/>
      <c r="FI15" s="267"/>
      <c r="FJ15" s="267"/>
      <c r="FK15" s="267"/>
      <c r="FL15" s="267"/>
      <c r="FM15" s="267"/>
      <c r="FN15" s="267"/>
      <c r="FO15" s="267"/>
      <c r="FP15" s="267"/>
      <c r="FQ15" s="267"/>
      <c r="FR15" s="267"/>
      <c r="FS15" s="267"/>
      <c r="FT15" s="267"/>
      <c r="FU15" s="267"/>
      <c r="FV15" s="267"/>
      <c r="FW15" s="267"/>
      <c r="FX15" s="267"/>
      <c r="FY15" s="267"/>
      <c r="FZ15" s="268"/>
      <c r="GA15" s="269"/>
      <c r="GB15" s="269"/>
      <c r="GC15" s="269"/>
      <c r="GD15" s="269"/>
      <c r="GE15" s="269"/>
    </row>
    <row r="16" spans="1:218" ht="12.75" customHeight="1">
      <c r="A16" s="200" t="s">
        <v>27</v>
      </c>
      <c r="B16" s="204" t="str">
        <f ca="1">CONCATENATE("Mob"," ",VLOOKUP("Unprotected",Zone_Traduction,ref_langue,FALSE))</f>
        <v>Mob Unprotected</v>
      </c>
      <c r="C16" s="133">
        <v>6</v>
      </c>
      <c r="D16" s="133">
        <v>5</v>
      </c>
      <c r="E16" s="133">
        <v>4</v>
      </c>
      <c r="F16" s="133">
        <v>2</v>
      </c>
      <c r="G16" s="133">
        <v>0</v>
      </c>
      <c r="H16" s="213">
        <v>0</v>
      </c>
      <c r="J16" s="204" t="str">
        <f ca="1">CONCATENATE("montes"," ",VLOOKUP("Bow",Zone_Traduction,ref_langue,FALSE))</f>
        <v>montes Bow</v>
      </c>
      <c r="K16" s="216">
        <v>3</v>
      </c>
      <c r="M16" s="270">
        <v>25</v>
      </c>
      <c r="N16" s="271">
        <v>2</v>
      </c>
      <c r="Q16" s="204" t="str">
        <f ca="1">CONCATENATE("montes"," ",VLOOKUP("Light spear Swordsmen",Zone_Traduction,ref_langue,FALSE))</f>
        <v>montes Light spear Swordsmen</v>
      </c>
      <c r="R16" s="237">
        <v>3</v>
      </c>
      <c r="AF16" s="203">
        <v>14</v>
      </c>
      <c r="AG16" s="131">
        <f t="shared" si="3"/>
        <v>0.3571428571428571</v>
      </c>
      <c r="AH16" s="131">
        <f t="shared" si="3"/>
        <v>0.71428571428571419</v>
      </c>
      <c r="AI16" s="131">
        <f t="shared" si="3"/>
        <v>1.0714285714285714</v>
      </c>
      <c r="AJ16" s="131">
        <f t="shared" si="3"/>
        <v>1.4285714285714284</v>
      </c>
      <c r="AK16" s="131">
        <f t="shared" si="3"/>
        <v>1.7857142857142858</v>
      </c>
      <c r="AL16" s="131">
        <f t="shared" si="3"/>
        <v>2.1428571428571428</v>
      </c>
      <c r="AM16" s="131">
        <f t="shared" si="3"/>
        <v>2.5</v>
      </c>
      <c r="AN16" s="131">
        <f t="shared" si="3"/>
        <v>2.8571428571428568</v>
      </c>
      <c r="AO16" s="131">
        <f t="shared" si="3"/>
        <v>3.2142857142857144</v>
      </c>
      <c r="AP16" s="131">
        <f t="shared" si="3"/>
        <v>3.5714285714285716</v>
      </c>
      <c r="AQ16" s="131">
        <f t="shared" si="3"/>
        <v>3.9285714285714284</v>
      </c>
      <c r="AR16" s="131">
        <f t="shared" si="3"/>
        <v>4.2857142857142856</v>
      </c>
      <c r="AS16" s="131">
        <f t="shared" si="3"/>
        <v>4.6428571428571432</v>
      </c>
      <c r="AT16" s="131">
        <v>10</v>
      </c>
      <c r="BI16" s="127">
        <f>IF('Liste Armée'!P26="-",0,IF(OR('Liste Armée'!E26="LH",'Liste Armée'!E26="LF"),0.5,IF('Liste Armée'!E26="SCh",0,1)))</f>
        <v>0</v>
      </c>
      <c r="BJ16" s="127" t="str">
        <f>IF(OR('Liste Armée'!$E26="HF",'Liste Armée'!$E26="MF",'Liste Armée'!$E26="LF"),"infanterie",IF(OR('Liste Armée'!$E26="Kn",'Liste Armée'!$E26="Ct",'Liste Armée'!$E26="Cv",'Liste Armée'!$E26="LH",'Liste Armée'!$E26="LCh",'Liste Armée'!$E26="HCh",'Liste Armée'!$E26="SCh",'Liste Armée'!$E26="EL"),"montes",IF(OR('Liste Armée'!$E26="BWG"),"BWG","special")))</f>
        <v>special</v>
      </c>
      <c r="BK16" s="127">
        <f ca="1">VLOOKUP('Liste Armée'!$E26&amp;" "&amp;'Liste Armée'!$F26,Table_budget,MATCH('Liste Armée'!$G26,Colonnes_table_budget,FALSE),FALSE)
   +IF('Liste Armée'!$H26=VLOOKUP("Drilled",Zone_Traduction,ref_langue,FALSE),VLOOKUP('Liste Armée'!$E26&amp;" "&amp;'Liste Armée'!$F26,Table_budget,MATCH(VLOOKUP("Drilled",Zone_Traduction,ref_langue,FALSE),Colonnes_table_budget,FALSE),FALSE),0)
   +IF(ISERROR(VLOOKUP(BJ16&amp;" "&amp;$G16,Table_armes_tir,2,FALSE)),0,VLOOKUP(BJ16&amp;" "&amp;$G16,Table_armes_tir,2,FALSE))
   +IF(ISERROR(VLOOKUP(BJ16&amp;" "&amp;$I16,Table_armes_melee,2,FALSE)),0,VLOOKUP(BJ16&amp;" "&amp;$I16,Table_armes_melee,2,FALSE))
   +IF(ISERROR(VLOOKUP($J16,Table_special,2,FALSE)),0,VLOOKUP($J16,Table_special,2,FALSE))</f>
        <v>0</v>
      </c>
      <c r="BL16" s="127">
        <f ca="1">'Liste Armée'!$M26*'Liste Armée'!$L26</f>
        <v>0</v>
      </c>
      <c r="BM16" s="126"/>
      <c r="BN16" s="127">
        <f>IF(OR('Liste Armée'!$E26="CV",'Liste Armée'!$E26="LH",'Liste Armée'!$E26="LCH"),'Liste Armée'!$L26,0)</f>
        <v>0</v>
      </c>
      <c r="BP16" s="272" t="s">
        <v>436</v>
      </c>
      <c r="BQ16" s="273"/>
      <c r="BR16" s="273"/>
      <c r="BS16" s="273"/>
      <c r="BT16" s="273"/>
      <c r="BU16" s="274" t="s">
        <v>517</v>
      </c>
      <c r="BV16" s="274" t="s">
        <v>517</v>
      </c>
      <c r="BW16" s="274" t="s">
        <v>517</v>
      </c>
      <c r="BX16" s="273" t="s">
        <v>518</v>
      </c>
      <c r="BY16" s="273" t="s">
        <v>518</v>
      </c>
      <c r="BZ16" s="273" t="s">
        <v>519</v>
      </c>
      <c r="CA16" s="273" t="s">
        <v>519</v>
      </c>
      <c r="CB16" s="273" t="s">
        <v>520</v>
      </c>
      <c r="CC16" s="273" t="s">
        <v>520</v>
      </c>
      <c r="CD16" s="273" t="s">
        <v>520</v>
      </c>
      <c r="CE16" s="273" t="s">
        <v>520</v>
      </c>
      <c r="CF16" s="273" t="s">
        <v>520</v>
      </c>
      <c r="CG16" s="274" t="s">
        <v>521</v>
      </c>
      <c r="CH16" s="273" t="s">
        <v>522</v>
      </c>
      <c r="CI16" s="273" t="s">
        <v>523</v>
      </c>
      <c r="CJ16" s="273" t="s">
        <v>523</v>
      </c>
      <c r="CK16" s="273" t="s">
        <v>523</v>
      </c>
      <c r="CL16" s="273" t="s">
        <v>523</v>
      </c>
      <c r="CM16" s="273" t="s">
        <v>523</v>
      </c>
      <c r="CN16" s="273" t="s">
        <v>523</v>
      </c>
      <c r="CO16" s="273" t="s">
        <v>524</v>
      </c>
      <c r="CP16" s="273" t="s">
        <v>524</v>
      </c>
      <c r="CQ16" s="273" t="s">
        <v>525</v>
      </c>
      <c r="CR16" s="273" t="s">
        <v>525</v>
      </c>
      <c r="CS16" s="273" t="s">
        <v>525</v>
      </c>
      <c r="CT16" s="273" t="s">
        <v>525</v>
      </c>
      <c r="CU16" s="274" t="s">
        <v>526</v>
      </c>
      <c r="CV16" s="274" t="s">
        <v>526</v>
      </c>
      <c r="CW16" s="274" t="s">
        <v>526</v>
      </c>
      <c r="CX16" s="274" t="s">
        <v>527</v>
      </c>
      <c r="CY16" s="274" t="s">
        <v>527</v>
      </c>
      <c r="CZ16" s="274" t="s">
        <v>527</v>
      </c>
      <c r="DA16" s="274" t="s">
        <v>527</v>
      </c>
      <c r="DB16" s="274" t="s">
        <v>527</v>
      </c>
      <c r="DC16" s="273" t="s">
        <v>528</v>
      </c>
      <c r="DD16" s="273" t="s">
        <v>528</v>
      </c>
      <c r="DE16" s="273" t="s">
        <v>528</v>
      </c>
      <c r="DF16" s="273" t="s">
        <v>528</v>
      </c>
      <c r="DG16" s="273" t="s">
        <v>528</v>
      </c>
      <c r="DH16" s="273" t="s">
        <v>528</v>
      </c>
      <c r="DI16" s="273" t="s">
        <v>528</v>
      </c>
      <c r="DJ16" s="273" t="s">
        <v>529</v>
      </c>
      <c r="DK16" s="273" t="s">
        <v>529</v>
      </c>
      <c r="DL16" s="273" t="s">
        <v>530</v>
      </c>
      <c r="DM16" s="273" t="s">
        <v>530</v>
      </c>
      <c r="DN16" s="273" t="s">
        <v>531</v>
      </c>
      <c r="DO16" s="273" t="s">
        <v>531</v>
      </c>
      <c r="DP16" s="273" t="s">
        <v>532</v>
      </c>
      <c r="DQ16" s="273" t="s">
        <v>532</v>
      </c>
      <c r="DR16" s="273" t="s">
        <v>532</v>
      </c>
      <c r="DS16" s="273" t="s">
        <v>532</v>
      </c>
      <c r="DT16" s="274" t="s">
        <v>533</v>
      </c>
      <c r="DU16" s="274" t="s">
        <v>533</v>
      </c>
      <c r="DV16" s="274" t="s">
        <v>533</v>
      </c>
      <c r="DW16" s="274" t="s">
        <v>533</v>
      </c>
      <c r="DX16" s="273" t="s">
        <v>534</v>
      </c>
      <c r="DY16" s="273" t="s">
        <v>534</v>
      </c>
      <c r="DZ16" s="273" t="s">
        <v>534</v>
      </c>
      <c r="EA16" s="273" t="s">
        <v>535</v>
      </c>
      <c r="EB16" s="273" t="s">
        <v>535</v>
      </c>
      <c r="EC16" s="273" t="s">
        <v>536</v>
      </c>
      <c r="ED16" s="273" t="s">
        <v>536</v>
      </c>
      <c r="EE16" s="273" t="s">
        <v>536</v>
      </c>
      <c r="EF16" s="273" t="s">
        <v>536</v>
      </c>
      <c r="EG16" s="273" t="s">
        <v>537</v>
      </c>
      <c r="EH16" s="273" t="s">
        <v>537</v>
      </c>
      <c r="EI16" s="273" t="s">
        <v>537</v>
      </c>
      <c r="EJ16" s="273" t="s">
        <v>538</v>
      </c>
      <c r="EK16" s="273" t="s">
        <v>538</v>
      </c>
      <c r="EL16" s="273" t="s">
        <v>538</v>
      </c>
      <c r="EM16" s="275"/>
      <c r="EN16" s="275"/>
      <c r="EO16" s="275"/>
      <c r="EP16" s="275"/>
      <c r="EQ16" s="275"/>
      <c r="ER16" s="275"/>
      <c r="ES16" s="275"/>
      <c r="ET16" s="275"/>
      <c r="EU16" s="275"/>
      <c r="EV16" s="276"/>
      <c r="EW16" s="275"/>
      <c r="EX16" s="275"/>
      <c r="EY16" s="275"/>
      <c r="EZ16" s="275"/>
      <c r="FA16" s="275"/>
      <c r="FB16" s="275"/>
      <c r="FC16" s="275"/>
      <c r="FD16" s="275"/>
      <c r="FE16" s="275"/>
      <c r="FF16" s="275"/>
      <c r="FG16" s="275"/>
      <c r="FH16" s="275"/>
      <c r="FI16" s="275"/>
      <c r="FJ16" s="275"/>
      <c r="FK16" s="275"/>
      <c r="FL16" s="275"/>
      <c r="FM16" s="275"/>
      <c r="FN16" s="275"/>
      <c r="FO16" s="275"/>
      <c r="FP16" s="275"/>
      <c r="FQ16" s="275"/>
      <c r="FR16" s="275"/>
      <c r="FS16" s="275"/>
      <c r="FT16" s="275"/>
      <c r="FU16" s="275"/>
      <c r="FV16" s="275"/>
      <c r="FW16" s="275"/>
      <c r="FX16" s="275"/>
      <c r="FY16" s="275"/>
      <c r="FZ16" s="276"/>
      <c r="GA16" s="277"/>
      <c r="GB16" s="277"/>
      <c r="GC16" s="277"/>
      <c r="GD16" s="277"/>
      <c r="GE16" s="277"/>
    </row>
    <row r="17" spans="1:66" ht="12.75" customHeight="1">
      <c r="A17" s="200" t="s">
        <v>201</v>
      </c>
      <c r="B17" s="204" t="str">
        <f ca="1">CONCATENATE("Kn"," ",VLOOKUP("Heavily armoured",Zone_Traduction,ref_langue,FALSE))</f>
        <v>Kn Heavily Armoured</v>
      </c>
      <c r="C17" s="133">
        <v>27</v>
      </c>
      <c r="D17" s="133">
        <v>23</v>
      </c>
      <c r="E17" s="133">
        <v>15</v>
      </c>
      <c r="F17" s="133"/>
      <c r="G17" s="133">
        <v>3</v>
      </c>
      <c r="H17" s="213">
        <v>0</v>
      </c>
      <c r="J17" s="204" t="str">
        <f ca="1">CONCATENATE("montes"," ",VLOOKUP("Bw*",Zone_Traduction,ref_langue,FALSE))</f>
        <v>montes Bw*</v>
      </c>
      <c r="K17" s="216">
        <v>2</v>
      </c>
      <c r="Q17" s="278" t="str">
        <f ca="1">CONCATENATE("montes"," ",VLOOKUP("Swordsmen",Zone_Traduction,ref_langue,FALSE))</f>
        <v>montes Swordsmen</v>
      </c>
      <c r="R17" s="279">
        <v>2</v>
      </c>
      <c r="AF17" s="203">
        <v>15</v>
      </c>
      <c r="AG17" s="131">
        <f t="shared" si="3"/>
        <v>0.33333333333333331</v>
      </c>
      <c r="AH17" s="131">
        <f t="shared" si="3"/>
        <v>0.66666666666666663</v>
      </c>
      <c r="AI17" s="131">
        <f t="shared" si="3"/>
        <v>1</v>
      </c>
      <c r="AJ17" s="131">
        <f t="shared" si="3"/>
        <v>1.3333333333333333</v>
      </c>
      <c r="AK17" s="131">
        <f t="shared" si="3"/>
        <v>1.6666666666666665</v>
      </c>
      <c r="AL17" s="131">
        <f t="shared" si="3"/>
        <v>2</v>
      </c>
      <c r="AM17" s="131">
        <f t="shared" si="3"/>
        <v>2.3333333333333335</v>
      </c>
      <c r="AN17" s="131">
        <f t="shared" si="3"/>
        <v>2.6666666666666665</v>
      </c>
      <c r="AO17" s="131">
        <f t="shared" si="3"/>
        <v>3</v>
      </c>
      <c r="AP17" s="131">
        <f t="shared" si="3"/>
        <v>3.333333333333333</v>
      </c>
      <c r="AQ17" s="131">
        <f t="shared" si="3"/>
        <v>3.6666666666666665</v>
      </c>
      <c r="AR17" s="131">
        <f t="shared" si="3"/>
        <v>4</v>
      </c>
      <c r="AS17" s="131">
        <f t="shared" si="3"/>
        <v>4.3333333333333339</v>
      </c>
      <c r="AT17" s="131">
        <f t="shared" si="3"/>
        <v>4.666666666666667</v>
      </c>
      <c r="AU17" s="131">
        <v>10</v>
      </c>
      <c r="BI17" s="127">
        <f>IF('Liste Armée'!P27="-",0,IF(OR('Liste Armée'!E27="LH",'Liste Armée'!E27="LF"),0.5,IF('Liste Armée'!E27="SCh",0,1)))</f>
        <v>0</v>
      </c>
      <c r="BJ17" s="127" t="str">
        <f>IF(OR('Liste Armée'!$E27="HF",'Liste Armée'!$E27="MF",'Liste Armée'!$E27="LF"),"infanterie",IF(OR('Liste Armée'!$E27="Kn",'Liste Armée'!$E27="Ct",'Liste Armée'!$E27="Cv",'Liste Armée'!$E27="LH",'Liste Armée'!$E27="LCh",'Liste Armée'!$E27="HCh",'Liste Armée'!$E27="SCh",'Liste Armée'!$E27="EL"),"montes",IF(OR('Liste Armée'!$E27="BWG"),"BWG","special")))</f>
        <v>special</v>
      </c>
      <c r="BK17" s="127">
        <f ca="1">VLOOKUP('Liste Armée'!$E27&amp;" "&amp;'Liste Armée'!$F27,Table_budget,MATCH('Liste Armée'!$G27,Colonnes_table_budget,FALSE),FALSE)
   +IF('Liste Armée'!$H27=VLOOKUP("Drilled",Zone_Traduction,ref_langue,FALSE),VLOOKUP('Liste Armée'!$E27&amp;" "&amp;'Liste Armée'!$F27,Table_budget,MATCH(VLOOKUP("Drilled",Zone_Traduction,ref_langue,FALSE),Colonnes_table_budget,FALSE),FALSE),0)
   +IF(ISERROR(VLOOKUP(BJ17&amp;" "&amp;$G17,Table_armes_tir,2,FALSE)),0,VLOOKUP(BJ17&amp;" "&amp;$G17,Table_armes_tir,2,FALSE))
   +IF(ISERROR(VLOOKUP(BJ17&amp;" "&amp;$I17,Table_armes_melee,2,FALSE)),0,VLOOKUP(BJ17&amp;" "&amp;$I17,Table_armes_melee,2,FALSE))
   +IF(ISERROR(VLOOKUP($J17,Table_special,2,FALSE)),0,VLOOKUP($J17,Table_special,2,FALSE))</f>
        <v>0</v>
      </c>
      <c r="BL17" s="127">
        <f ca="1">'Liste Armée'!$M27*'Liste Armée'!$L27</f>
        <v>0</v>
      </c>
      <c r="BM17" s="126"/>
      <c r="BN17" s="127">
        <f>IF(OR('Liste Armée'!$E27="CV",'Liste Armée'!$E27="LH",'Liste Armée'!$E27="LCH"),'Liste Armée'!$L27,0)</f>
        <v>0</v>
      </c>
    </row>
    <row r="18" spans="1:66" ht="12.75" customHeight="1">
      <c r="A18" s="200" t="s">
        <v>201</v>
      </c>
      <c r="B18" s="204" t="str">
        <f ca="1">CONCATENATE("Kn"," ",VLOOKUP("Armoured",Zone_Traduction,ref_langue,FALSE))</f>
        <v>Kn Armoured</v>
      </c>
      <c r="C18" s="133">
        <v>23</v>
      </c>
      <c r="D18" s="133">
        <v>20</v>
      </c>
      <c r="E18" s="133">
        <v>13</v>
      </c>
      <c r="F18" s="133"/>
      <c r="G18" s="133">
        <v>2</v>
      </c>
      <c r="H18" s="213">
        <v>0</v>
      </c>
      <c r="J18" s="204" t="str">
        <f ca="1">CONCATENATE("montes"," ",VLOOKUP("Crossbow",Zone_Traduction,ref_langue,FALSE))</f>
        <v>montes Crossbow</v>
      </c>
      <c r="K18" s="216">
        <v>2</v>
      </c>
      <c r="M18" s="201" t="s">
        <v>85</v>
      </c>
      <c r="N18" s="217"/>
      <c r="Q18" s="244"/>
      <c r="AF18" s="203">
        <v>16</v>
      </c>
      <c r="AG18" s="131">
        <f t="shared" si="3"/>
        <v>0.3125</v>
      </c>
      <c r="AH18" s="131">
        <f t="shared" si="3"/>
        <v>0.625</v>
      </c>
      <c r="AI18" s="131">
        <f t="shared" si="3"/>
        <v>0.9375</v>
      </c>
      <c r="AJ18" s="131">
        <f t="shared" si="3"/>
        <v>1.25</v>
      </c>
      <c r="AK18" s="131">
        <f t="shared" si="3"/>
        <v>1.5625</v>
      </c>
      <c r="AL18" s="131">
        <f t="shared" si="3"/>
        <v>1.875</v>
      </c>
      <c r="AM18" s="131">
        <f t="shared" si="3"/>
        <v>2.1875</v>
      </c>
      <c r="AN18" s="131">
        <f t="shared" si="3"/>
        <v>2.5</v>
      </c>
      <c r="AO18" s="131">
        <f t="shared" si="3"/>
        <v>2.8125</v>
      </c>
      <c r="AP18" s="131">
        <f t="shared" si="3"/>
        <v>3.125</v>
      </c>
      <c r="AQ18" s="131">
        <f t="shared" si="3"/>
        <v>3.4375</v>
      </c>
      <c r="AR18" s="131">
        <f t="shared" si="3"/>
        <v>3.75</v>
      </c>
      <c r="AS18" s="131">
        <f t="shared" si="3"/>
        <v>4.0625</v>
      </c>
      <c r="AT18" s="131">
        <f t="shared" si="3"/>
        <v>4.375</v>
      </c>
      <c r="AU18" s="131">
        <f t="shared" si="3"/>
        <v>4.6875</v>
      </c>
      <c r="AV18" s="131">
        <v>10</v>
      </c>
      <c r="BI18" s="127">
        <f>IF('Liste Armée'!P28="-",0,IF(OR('Liste Armée'!E28="LH",'Liste Armée'!E28="LF"),0.5,IF('Liste Armée'!E28="SCh",0,1)))</f>
        <v>0</v>
      </c>
      <c r="BJ18" s="127" t="str">
        <f>IF(OR('Liste Armée'!$E28="HF",'Liste Armée'!$E28="MF",'Liste Armée'!$E28="LF"),"infanterie",IF(OR('Liste Armée'!$E28="Kn",'Liste Armée'!$E28="Ct",'Liste Armée'!$E28="Cv",'Liste Armée'!$E28="LH",'Liste Armée'!$E28="LCh",'Liste Armée'!$E28="HCh",'Liste Armée'!$E28="SCh",'Liste Armée'!$E28="EL"),"montes",IF(OR('Liste Armée'!$E28="BWG"),"BWG","special")))</f>
        <v>special</v>
      </c>
      <c r="BK18" s="127">
        <f ca="1">VLOOKUP('Liste Armée'!$E28&amp;" "&amp;'Liste Armée'!$F28,Table_budget,MATCH('Liste Armée'!$G28,Colonnes_table_budget,FALSE),FALSE)
   +IF('Liste Armée'!$H28=VLOOKUP("Drilled",Zone_Traduction,ref_langue,FALSE),VLOOKUP('Liste Armée'!$E28&amp;" "&amp;'Liste Armée'!$F28,Table_budget,MATCH(VLOOKUP("Drilled",Zone_Traduction,ref_langue,FALSE),Colonnes_table_budget,FALSE),FALSE),0)
   +IF(ISERROR(VLOOKUP(BJ18&amp;" "&amp;$G18,Table_armes_tir,2,FALSE)),0,VLOOKUP(BJ18&amp;" "&amp;$G18,Table_armes_tir,2,FALSE))
   +IF(ISERROR(VLOOKUP(BJ18&amp;" "&amp;$I18,Table_armes_melee,2,FALSE)),0,VLOOKUP(BJ18&amp;" "&amp;$I18,Table_armes_melee,2,FALSE))
   +IF(ISERROR(VLOOKUP($J18,Table_special,2,FALSE)),0,VLOOKUP($J18,Table_special,2,FALSE))</f>
        <v>0</v>
      </c>
      <c r="BL18" s="127">
        <f ca="1">'Liste Armée'!$M28*'Liste Armée'!$L28</f>
        <v>0</v>
      </c>
      <c r="BM18" s="126"/>
      <c r="BN18" s="127">
        <f>IF(OR('Liste Armée'!$E28="CV",'Liste Armée'!$E28="LH",'Liste Armée'!$E28="LCH"),'Liste Armée'!$L28,0)</f>
        <v>0</v>
      </c>
    </row>
    <row r="19" spans="1:66" ht="12.75" customHeight="1">
      <c r="A19" s="200" t="s">
        <v>209</v>
      </c>
      <c r="B19" s="204" t="s">
        <v>208</v>
      </c>
      <c r="C19" s="133">
        <v>19</v>
      </c>
      <c r="D19" s="133">
        <v>16</v>
      </c>
      <c r="E19" s="133">
        <v>11</v>
      </c>
      <c r="F19" s="133">
        <v>8</v>
      </c>
      <c r="G19" s="133">
        <v>2</v>
      </c>
      <c r="H19" s="213">
        <v>0</v>
      </c>
      <c r="J19" s="204" t="str">
        <f ca="1">CONCATENATE("montes"," ",VLOOKUP("firearm",Zone_Traduction,ref_langue,FALSE))</f>
        <v>montes Firearm</v>
      </c>
      <c r="K19" s="216">
        <v>1</v>
      </c>
      <c r="M19" s="280">
        <v>0</v>
      </c>
      <c r="N19" s="254" t="s">
        <v>191</v>
      </c>
      <c r="Q19" s="244" t="s">
        <v>1196</v>
      </c>
      <c r="R19" s="199" t="s">
        <v>1204</v>
      </c>
      <c r="T19" s="131" t="s">
        <v>1235</v>
      </c>
      <c r="AF19" s="203">
        <v>17</v>
      </c>
      <c r="AG19" s="131">
        <f t="shared" si="3"/>
        <v>0.29411764705882354</v>
      </c>
      <c r="AH19" s="131">
        <f t="shared" si="3"/>
        <v>0.58823529411764708</v>
      </c>
      <c r="AI19" s="131">
        <f t="shared" si="3"/>
        <v>0.88235294117647067</v>
      </c>
      <c r="AJ19" s="131">
        <f t="shared" si="3"/>
        <v>1.1764705882352942</v>
      </c>
      <c r="AK19" s="131">
        <f t="shared" si="3"/>
        <v>1.4705882352941178</v>
      </c>
      <c r="AL19" s="131">
        <f t="shared" si="3"/>
        <v>1.7647058823529413</v>
      </c>
      <c r="AM19" s="131">
        <f t="shared" si="3"/>
        <v>2.0588235294117645</v>
      </c>
      <c r="AN19" s="131">
        <f t="shared" si="3"/>
        <v>2.3529411764705883</v>
      </c>
      <c r="AO19" s="131">
        <f t="shared" si="3"/>
        <v>2.6470588235294117</v>
      </c>
      <c r="AP19" s="131">
        <f t="shared" si="3"/>
        <v>2.9411764705882355</v>
      </c>
      <c r="AQ19" s="131">
        <f t="shared" si="3"/>
        <v>3.2352941176470589</v>
      </c>
      <c r="AR19" s="131">
        <f t="shared" si="3"/>
        <v>3.5294117647058827</v>
      </c>
      <c r="AS19" s="131">
        <f t="shared" si="3"/>
        <v>3.8235294117647056</v>
      </c>
      <c r="AT19" s="131">
        <f t="shared" si="3"/>
        <v>4.117647058823529</v>
      </c>
      <c r="AU19" s="131">
        <f t="shared" si="3"/>
        <v>4.4117647058823533</v>
      </c>
      <c r="AV19" s="131">
        <f t="shared" si="3"/>
        <v>4.7058823529411766</v>
      </c>
      <c r="AW19" s="131">
        <v>10</v>
      </c>
      <c r="BI19" s="127">
        <f>IF('Liste Armée'!P29="-",0,IF(OR('Liste Armée'!E29="LH",'Liste Armée'!E29="LF"),0.5,IF('Liste Armée'!E29="SCh",0,1)))</f>
        <v>0</v>
      </c>
      <c r="BJ19" s="127" t="str">
        <f>IF(OR('Liste Armée'!$E29="HF",'Liste Armée'!$E29="MF",'Liste Armée'!$E29="LF"),"infanterie",IF(OR('Liste Armée'!$E29="Kn",'Liste Armée'!$E29="Ct",'Liste Armée'!$E29="Cv",'Liste Armée'!$E29="LH",'Liste Armée'!$E29="LCh",'Liste Armée'!$E29="HCh",'Liste Armée'!$E29="SCh",'Liste Armée'!$E29="EL"),"montes",IF(OR('Liste Armée'!$E29="BWG"),"BWG","special")))</f>
        <v>special</v>
      </c>
      <c r="BK19" s="127">
        <f ca="1">VLOOKUP('Liste Armée'!$E29&amp;" "&amp;'Liste Armée'!$F29,Table_budget,MATCH('Liste Armée'!$G29,Colonnes_table_budget,FALSE),FALSE)
   +IF('Liste Armée'!$H29=VLOOKUP("Drilled",Zone_Traduction,ref_langue,FALSE),VLOOKUP('Liste Armée'!$E29&amp;" "&amp;'Liste Armée'!$F29,Table_budget,MATCH(VLOOKUP("Drilled",Zone_Traduction,ref_langue,FALSE),Colonnes_table_budget,FALSE),FALSE),0)
   +IF(ISERROR(VLOOKUP(BJ19&amp;" "&amp;$G19,Table_armes_tir,2,FALSE)),0,VLOOKUP(BJ19&amp;" "&amp;$G19,Table_armes_tir,2,FALSE))
   +IF(ISERROR(VLOOKUP(BJ19&amp;" "&amp;$I19,Table_armes_melee,2,FALSE)),0,VLOOKUP(BJ19&amp;" "&amp;$I19,Table_armes_melee,2,FALSE))
   +IF(ISERROR(VLOOKUP($J20,Table_special,2,FALSE)),0,VLOOKUP($J20,Table_special,2,FALSE))</f>
        <v>0</v>
      </c>
      <c r="BL19" s="127">
        <f ca="1">'Liste Armée'!$M29*'Liste Armée'!$L29</f>
        <v>0</v>
      </c>
      <c r="BM19" s="126"/>
      <c r="BN19" s="127">
        <f>IF(OR('Liste Armée'!$E29="CV",'Liste Armée'!$E29="LH",'Liste Armée'!$E29="LCH"),'Liste Armée'!$L29,0)</f>
        <v>0</v>
      </c>
    </row>
    <row r="20" spans="1:66" ht="12.75" customHeight="1">
      <c r="A20" s="200" t="s">
        <v>209</v>
      </c>
      <c r="B20" s="204" t="str">
        <f ca="1">CONCATENATE("Ct"," ",VLOOKUP("Heavily armoured",Zone_Traduction,ref_langue,FALSE))</f>
        <v>Ct Heavily Armoured</v>
      </c>
      <c r="C20" s="133">
        <v>19</v>
      </c>
      <c r="D20" s="133">
        <v>16</v>
      </c>
      <c r="E20" s="133">
        <v>11</v>
      </c>
      <c r="F20" s="133">
        <v>8</v>
      </c>
      <c r="G20" s="133">
        <v>2</v>
      </c>
      <c r="H20" s="213">
        <v>0</v>
      </c>
      <c r="J20" s="278" t="str">
        <f ca="1">CONCATENATE("montes"," ",VLOOKUP("Javelins",Zone_Traduction,ref_langue,FALSE))</f>
        <v>montes Javelins</v>
      </c>
      <c r="K20" s="281">
        <v>1</v>
      </c>
      <c r="M20" s="280"/>
      <c r="N20" s="254"/>
      <c r="Q20" s="244" t="s">
        <v>30</v>
      </c>
      <c r="R20" s="199" t="str">
        <f ca="1">T27</f>
        <v>Bow</v>
      </c>
      <c r="T20" s="131" t="str">
        <f ca="1">T28</f>
        <v>Bw*</v>
      </c>
      <c r="AF20" s="203">
        <v>18</v>
      </c>
      <c r="AG20" s="131">
        <f t="shared" si="3"/>
        <v>0.27777777777777779</v>
      </c>
      <c r="AH20" s="131">
        <f t="shared" si="3"/>
        <v>0.55555555555555558</v>
      </c>
      <c r="AI20" s="131">
        <f t="shared" si="3"/>
        <v>0.83333333333333326</v>
      </c>
      <c r="AJ20" s="131">
        <f t="shared" si="3"/>
        <v>1.1111111111111112</v>
      </c>
      <c r="AK20" s="131">
        <f t="shared" si="3"/>
        <v>1.3888888888888888</v>
      </c>
      <c r="AL20" s="131">
        <f t="shared" si="3"/>
        <v>1.6666666666666665</v>
      </c>
      <c r="AM20" s="131">
        <f t="shared" si="3"/>
        <v>1.9444444444444444</v>
      </c>
      <c r="AN20" s="131">
        <f t="shared" si="3"/>
        <v>2.2222222222222223</v>
      </c>
      <c r="AO20" s="131">
        <f t="shared" si="3"/>
        <v>2.5</v>
      </c>
      <c r="AP20" s="131">
        <f t="shared" si="3"/>
        <v>2.7777777777777777</v>
      </c>
      <c r="AQ20" s="131">
        <f t="shared" si="3"/>
        <v>3.0555555555555558</v>
      </c>
      <c r="AR20" s="131">
        <f t="shared" si="3"/>
        <v>3.333333333333333</v>
      </c>
      <c r="AS20" s="131">
        <f t="shared" si="3"/>
        <v>3.6111111111111112</v>
      </c>
      <c r="AT20" s="131">
        <f t="shared" si="3"/>
        <v>3.8888888888888888</v>
      </c>
      <c r="AU20" s="131">
        <f t="shared" si="3"/>
        <v>4.166666666666667</v>
      </c>
      <c r="AV20" s="131">
        <f t="shared" si="3"/>
        <v>4.4444444444444446</v>
      </c>
      <c r="AW20" s="131">
        <f>(AW$2/$AF20)*5</f>
        <v>4.7222222222222223</v>
      </c>
      <c r="AX20" s="131">
        <v>10</v>
      </c>
      <c r="BI20" s="127">
        <f>IF('Liste Armée'!P30="-",0,IF(OR('Liste Armée'!E30="LH",'Liste Armée'!E30="LF"),0.5,IF('Liste Armée'!E30="SCh",0,1)))</f>
        <v>0</v>
      </c>
      <c r="BJ20" s="127" t="str">
        <f>IF(OR('Liste Armée'!$E30="HF",'Liste Armée'!$E30="MF",'Liste Armée'!$E30="LF"),"infanterie",IF(OR('Liste Armée'!$E30="Kn",'Liste Armée'!$E30="Ct",'Liste Armée'!$E30="Cv",'Liste Armée'!$E30="LH",'Liste Armée'!$E30="LCh",'Liste Armée'!$E30="HCh",'Liste Armée'!$E30="SCh",'Liste Armée'!$E30="EL"),"montes",IF(OR('Liste Armée'!$E30="BWG"),"BWG","special")))</f>
        <v>special</v>
      </c>
      <c r="BK20" s="127">
        <f ca="1">VLOOKUP('Liste Armée'!$E30&amp;" "&amp;'Liste Armée'!$F30,Table_budget,MATCH('Liste Armée'!$G30,Colonnes_table_budget,FALSE),FALSE)
   +IF('Liste Armée'!$H30=VLOOKUP("Drilled",Zone_Traduction,ref_langue,FALSE),VLOOKUP('Liste Armée'!$E30&amp;" "&amp;'Liste Armée'!$F30,Table_budget,MATCH(VLOOKUP("Drilled",Zone_Traduction,ref_langue,FALSE),Colonnes_table_budget,FALSE),FALSE),0)
   +IF(ISERROR(VLOOKUP(BJ20&amp;" "&amp;$G20,Table_armes_tir,2,FALSE)),0,VLOOKUP(BJ20&amp;" "&amp;$G20,Table_armes_tir,2,FALSE))
   +IF(ISERROR(VLOOKUP(BJ20&amp;" "&amp;$I20,Table_armes_melee,2,FALSE)),0,VLOOKUP(BJ20&amp;" "&amp;$I20,Table_armes_melee,2,FALSE))
   +IF(ISERROR(VLOOKUP($J21,Table_special,2,FALSE)),0,VLOOKUP($J21,Table_special,2,FALSE))</f>
        <v>0</v>
      </c>
      <c r="BL20" s="127">
        <f ca="1">'Liste Armée'!$M30*'Liste Armée'!$L30</f>
        <v>0</v>
      </c>
      <c r="BM20" s="126"/>
      <c r="BN20" s="127">
        <f>IF(OR('Liste Armée'!$E30="CV",'Liste Armée'!$E30="LH",'Liste Armée'!$E30="LCH"),'Liste Armée'!$L30,0)</f>
        <v>0</v>
      </c>
    </row>
    <row r="21" spans="1:66" ht="12.75" customHeight="1">
      <c r="A21" s="200" t="s">
        <v>210</v>
      </c>
      <c r="B21" s="204" t="str">
        <f ca="1">CONCATENATE("Cv"," ",VLOOKUP("Armoured",Zone_Traduction,ref_langue,FALSE))</f>
        <v>Cv Armoured</v>
      </c>
      <c r="C21" s="133">
        <v>17</v>
      </c>
      <c r="D21" s="133">
        <v>14</v>
      </c>
      <c r="E21" s="133">
        <v>9</v>
      </c>
      <c r="F21" s="133">
        <v>6</v>
      </c>
      <c r="G21" s="133">
        <v>1</v>
      </c>
      <c r="H21" s="213">
        <v>0</v>
      </c>
      <c r="M21" s="280">
        <v>1</v>
      </c>
      <c r="N21" s="254" t="s">
        <v>192</v>
      </c>
      <c r="Q21" s="244"/>
      <c r="R21" s="199" t="str">
        <f ca="1">T28</f>
        <v>Bw*</v>
      </c>
      <c r="T21" s="131" t="str">
        <f ca="1">T27</f>
        <v>Bow</v>
      </c>
      <c r="AF21" s="203">
        <v>19</v>
      </c>
      <c r="AG21" s="131">
        <f t="shared" si="3"/>
        <v>0.26315789473684209</v>
      </c>
      <c r="AH21" s="131">
        <f t="shared" si="3"/>
        <v>0.52631578947368418</v>
      </c>
      <c r="AI21" s="131">
        <f t="shared" si="3"/>
        <v>0.78947368421052633</v>
      </c>
      <c r="AJ21" s="131">
        <f t="shared" si="3"/>
        <v>1.0526315789473684</v>
      </c>
      <c r="AK21" s="131">
        <f t="shared" si="3"/>
        <v>1.3157894736842104</v>
      </c>
      <c r="AL21" s="131">
        <f t="shared" si="3"/>
        <v>1.5789473684210527</v>
      </c>
      <c r="AM21" s="131">
        <f t="shared" si="3"/>
        <v>1.8421052631578947</v>
      </c>
      <c r="AN21" s="131">
        <f t="shared" si="3"/>
        <v>2.1052631578947367</v>
      </c>
      <c r="AO21" s="131">
        <f t="shared" si="3"/>
        <v>2.3684210526315788</v>
      </c>
      <c r="AP21" s="131">
        <f t="shared" si="3"/>
        <v>2.6315789473684208</v>
      </c>
      <c r="AQ21" s="131">
        <f t="shared" si="3"/>
        <v>2.8947368421052633</v>
      </c>
      <c r="AR21" s="131">
        <f t="shared" si="3"/>
        <v>3.1578947368421053</v>
      </c>
      <c r="AS21" s="131">
        <f t="shared" si="3"/>
        <v>3.4210526315789473</v>
      </c>
      <c r="AT21" s="131">
        <f t="shared" si="3"/>
        <v>3.6842105263157894</v>
      </c>
      <c r="AU21" s="131">
        <f t="shared" si="3"/>
        <v>3.9473684210526319</v>
      </c>
      <c r="AV21" s="131">
        <f t="shared" si="3"/>
        <v>4.2105263157894735</v>
      </c>
      <c r="AW21" s="131">
        <f>(AW$2/$AF21)*5</f>
        <v>4.4736842105263159</v>
      </c>
      <c r="AX21" s="131">
        <f>(AX$2/$AF21)*5</f>
        <v>4.7368421052631575</v>
      </c>
      <c r="AY21" s="131">
        <v>10</v>
      </c>
      <c r="BI21" s="127">
        <f>IF('Liste Armée'!P31="-",0,IF(OR('Liste Armée'!E31="LH",'Liste Armée'!E31="LF"),0.5,IF('Liste Armée'!E31="SCh",0,1)))</f>
        <v>0</v>
      </c>
      <c r="BJ21" s="127" t="str">
        <f>IF(OR('Liste Armée'!$E31="HF",'Liste Armée'!$E31="MF",'Liste Armée'!$E31="LF"),"infanterie",IF(OR('Liste Armée'!$E31="Kn",'Liste Armée'!$E31="Ct",'Liste Armée'!$E31="Cv",'Liste Armée'!$E31="LH",'Liste Armée'!$E31="LCh",'Liste Armée'!$E31="HCh",'Liste Armée'!$E31="SCh",'Liste Armée'!$E31="EL"),"montes",IF(OR('Liste Armée'!$E31="BWG"),"BWG","special")))</f>
        <v>special</v>
      </c>
      <c r="BK21" s="127">
        <f ca="1">VLOOKUP('Liste Armée'!$E31&amp;" "&amp;'Liste Armée'!$F31,Table_budget,MATCH('Liste Armée'!$G31,Colonnes_table_budget,FALSE),FALSE)
   +IF('Liste Armée'!$H31=VLOOKUP("Drilled",Zone_Traduction,ref_langue,FALSE),VLOOKUP('Liste Armée'!$E31&amp;" "&amp;'Liste Armée'!$F31,Table_budget,MATCH(VLOOKUP("Drilled",Zone_Traduction,ref_langue,FALSE),Colonnes_table_budget,FALSE),FALSE),0)
   +IF(ISERROR(VLOOKUP(BJ21&amp;" "&amp;$G21,Table_armes_tir,2,FALSE)),0,VLOOKUP(BJ21&amp;" "&amp;$G21,Table_armes_tir,2,FALSE))
   +IF(ISERROR(VLOOKUP(BJ21&amp;" "&amp;$I21,Table_armes_melee,2,FALSE)),0,VLOOKUP(BJ21&amp;" "&amp;$I21,Table_armes_melee,2,FALSE))
   +IF(ISERROR(VLOOKUP($J22,Table_special,2,FALSE)),0,VLOOKUP($J22,Table_special,2,FALSE))</f>
        <v>0</v>
      </c>
      <c r="BL21" s="127">
        <f ca="1">'Liste Armée'!$M31*'Liste Armée'!$L31</f>
        <v>0</v>
      </c>
      <c r="BM21" s="126"/>
      <c r="BN21" s="127">
        <f>IF(OR('Liste Armée'!$E31="CV",'Liste Armée'!$E31="LH",'Liste Armée'!$E31="LCH"),'Liste Armée'!$L31,0)</f>
        <v>0</v>
      </c>
    </row>
    <row r="22" spans="1:66" ht="12.75" customHeight="1">
      <c r="A22" s="200" t="s">
        <v>210</v>
      </c>
      <c r="B22" s="204" t="str">
        <f ca="1">CONCATENATE("Cv"," ",VLOOKUP("Protected",Zone_Traduction,ref_langue,FALSE))</f>
        <v>Cv Protected</v>
      </c>
      <c r="C22" s="133">
        <v>12</v>
      </c>
      <c r="D22" s="133">
        <v>10</v>
      </c>
      <c r="E22" s="133">
        <v>6</v>
      </c>
      <c r="F22" s="133">
        <v>4</v>
      </c>
      <c r="G22" s="133">
        <v>1</v>
      </c>
      <c r="H22" s="213">
        <v>0</v>
      </c>
      <c r="J22" s="214" t="s">
        <v>33</v>
      </c>
      <c r="K22" s="282"/>
      <c r="M22" s="280">
        <v>2</v>
      </c>
      <c r="N22" s="254" t="s">
        <v>193</v>
      </c>
      <c r="Q22" s="244" t="s">
        <v>1197</v>
      </c>
      <c r="R22" s="199" t="str">
        <f ca="1">T29</f>
        <v>Crossbow</v>
      </c>
      <c r="T22" s="131" t="s">
        <v>30</v>
      </c>
      <c r="AF22" s="203">
        <v>20</v>
      </c>
      <c r="AG22" s="131">
        <f t="shared" si="3"/>
        <v>0.25</v>
      </c>
      <c r="AH22" s="131">
        <f t="shared" si="3"/>
        <v>0.5</v>
      </c>
      <c r="AI22" s="131">
        <f t="shared" si="3"/>
        <v>0.75</v>
      </c>
      <c r="AJ22" s="131">
        <f t="shared" si="3"/>
        <v>1</v>
      </c>
      <c r="AK22" s="131">
        <f t="shared" si="3"/>
        <v>1.25</v>
      </c>
      <c r="AL22" s="131">
        <f t="shared" si="3"/>
        <v>1.5</v>
      </c>
      <c r="AM22" s="131">
        <f t="shared" si="3"/>
        <v>1.75</v>
      </c>
      <c r="AN22" s="131">
        <f t="shared" si="3"/>
        <v>2</v>
      </c>
      <c r="AO22" s="131">
        <f t="shared" si="3"/>
        <v>2.25</v>
      </c>
      <c r="AP22" s="131">
        <f t="shared" si="3"/>
        <v>2.5</v>
      </c>
      <c r="AQ22" s="131">
        <f t="shared" si="3"/>
        <v>2.75</v>
      </c>
      <c r="AR22" s="131">
        <f t="shared" si="3"/>
        <v>3</v>
      </c>
      <c r="AS22" s="131">
        <f t="shared" si="3"/>
        <v>3.25</v>
      </c>
      <c r="AT22" s="131">
        <f t="shared" si="3"/>
        <v>3.5</v>
      </c>
      <c r="AU22" s="131">
        <f t="shared" si="3"/>
        <v>3.75</v>
      </c>
      <c r="AV22" s="131">
        <f t="shared" si="3"/>
        <v>4</v>
      </c>
      <c r="AW22" s="131">
        <f>(AW$2/$AF22)*5</f>
        <v>4.25</v>
      </c>
      <c r="AX22" s="131">
        <f>(AX$2/$AF22)*5</f>
        <v>4.5</v>
      </c>
      <c r="AY22" s="131">
        <f>(AY$2/$AF22)*5</f>
        <v>4.75</v>
      </c>
      <c r="AZ22" s="131">
        <v>10</v>
      </c>
      <c r="BI22" s="127">
        <f>IF('Liste Armée'!P32="-",0,IF(OR('Liste Armée'!E32="LH",'Liste Armée'!E32="LF"),0.5,IF('Liste Armée'!E32="SCh",0,1)))</f>
        <v>0</v>
      </c>
      <c r="BJ22" s="127" t="str">
        <f>IF(OR('Liste Armée'!$E32="HF",'Liste Armée'!$E32="MF",'Liste Armée'!$E32="LF"),"infanterie",IF(OR('Liste Armée'!$E32="Kn",'Liste Armée'!$E32="Ct",'Liste Armée'!$E32="Cv",'Liste Armée'!$E32="LH",'Liste Armée'!$E32="LCh",'Liste Armée'!$E32="HCh",'Liste Armée'!$E32="SCh",'Liste Armée'!$E32="EL"),"montes",IF(OR('Liste Armée'!$E32="BWG"),"BWG","special")))</f>
        <v>special</v>
      </c>
      <c r="BK22" s="127">
        <f ca="1">VLOOKUP('Liste Armée'!$E32&amp;" "&amp;'Liste Armée'!$F32,Table_budget,MATCH('Liste Armée'!$G32,Colonnes_table_budget,FALSE),FALSE)
   +IF('Liste Armée'!$H32=VLOOKUP("Drilled",Zone_Traduction,ref_langue,FALSE),VLOOKUP('Liste Armée'!$E32&amp;" "&amp;'Liste Armée'!$F32,Table_budget,MATCH(VLOOKUP("Drilled",Zone_Traduction,ref_langue,FALSE),Colonnes_table_budget,FALSE),FALSE),0)
   +IF(ISERROR(VLOOKUP(BJ22&amp;" "&amp;$G22,Table_armes_tir,2,FALSE)),0,VLOOKUP(BJ22&amp;" "&amp;$G22,Table_armes_tir,2,FALSE))
   +IF(ISERROR(VLOOKUP(BJ22&amp;" "&amp;$I22,Table_armes_melee,2,FALSE)),0,VLOOKUP(BJ22&amp;" "&amp;$I22,Table_armes_melee,2,FALSE))
   +IF(ISERROR(VLOOKUP($J23,Table_special,2,FALSE)),0,VLOOKUP($J23,Table_special,2,FALSE))</f>
        <v>0</v>
      </c>
      <c r="BL22" s="127">
        <f ca="1">'Liste Armée'!$M32*'Liste Armée'!$L32</f>
        <v>0</v>
      </c>
      <c r="BM22" s="126"/>
      <c r="BN22" s="127">
        <f>IF(OR('Liste Armée'!$E32="CV",'Liste Armée'!$E32="LH",'Liste Armée'!$E32="LCH"),'Liste Armée'!$L32,0)</f>
        <v>0</v>
      </c>
    </row>
    <row r="23" spans="1:66" ht="12.75" customHeight="1">
      <c r="A23" s="200" t="s">
        <v>210</v>
      </c>
      <c r="B23" s="204" t="str">
        <f ca="1">CONCATENATE("Cv"," ",VLOOKUP("Unprotected",Zone_Traduction,ref_langue,FALSE))</f>
        <v>Cv Unprotected</v>
      </c>
      <c r="C23" s="133">
        <v>10</v>
      </c>
      <c r="D23" s="133">
        <v>8</v>
      </c>
      <c r="E23" s="133">
        <v>5</v>
      </c>
      <c r="F23" s="133">
        <v>3</v>
      </c>
      <c r="G23" s="133">
        <v>1</v>
      </c>
      <c r="H23" s="213">
        <v>0</v>
      </c>
      <c r="J23" s="204" t="str">
        <f ca="1">CONCATENATE("montes"," ",VLOOKUP("Light spear",Zone_Traduction,ref_langue,FALSE))</f>
        <v>montes Light Spear</v>
      </c>
      <c r="K23" s="283">
        <v>1</v>
      </c>
      <c r="M23" s="280">
        <v>3</v>
      </c>
      <c r="N23" s="254" t="s">
        <v>194</v>
      </c>
      <c r="Q23" s="131" t="str">
        <f ca="1">VLOOKUP("Heavily Armoured",Zone_Traduction,ref_langue,FALSE)</f>
        <v>Heavily Armoured</v>
      </c>
      <c r="R23" s="199" t="str">
        <f ca="1">T30</f>
        <v>Firearm</v>
      </c>
      <c r="AF23" s="203">
        <v>21</v>
      </c>
      <c r="AG23" s="131">
        <f t="shared" si="3"/>
        <v>0.23809523809523808</v>
      </c>
      <c r="AH23" s="131">
        <f t="shared" si="3"/>
        <v>0.47619047619047616</v>
      </c>
      <c r="AI23" s="131">
        <f t="shared" si="3"/>
        <v>0.71428571428571419</v>
      </c>
      <c r="AJ23" s="131">
        <f t="shared" si="3"/>
        <v>0.95238095238095233</v>
      </c>
      <c r="AK23" s="131">
        <f t="shared" si="3"/>
        <v>1.1904761904761905</v>
      </c>
      <c r="AL23" s="131">
        <f t="shared" si="3"/>
        <v>1.4285714285714284</v>
      </c>
      <c r="AM23" s="131">
        <f t="shared" si="3"/>
        <v>1.6666666666666665</v>
      </c>
      <c r="AN23" s="131">
        <f t="shared" si="3"/>
        <v>1.9047619047619047</v>
      </c>
      <c r="AO23" s="131">
        <f t="shared" si="3"/>
        <v>2.1428571428571428</v>
      </c>
      <c r="AP23" s="131">
        <f t="shared" si="3"/>
        <v>2.3809523809523809</v>
      </c>
      <c r="AQ23" s="131">
        <f t="shared" si="3"/>
        <v>2.6190476190476191</v>
      </c>
      <c r="AR23" s="131">
        <f t="shared" si="3"/>
        <v>2.8571428571428568</v>
      </c>
      <c r="AS23" s="131">
        <f t="shared" si="3"/>
        <v>3.0952380952380953</v>
      </c>
      <c r="AT23" s="131">
        <f t="shared" si="3"/>
        <v>3.333333333333333</v>
      </c>
      <c r="AU23" s="131">
        <f t="shared" si="3"/>
        <v>3.5714285714285716</v>
      </c>
      <c r="AV23" s="131">
        <f t="shared" si="3"/>
        <v>3.8095238095238093</v>
      </c>
      <c r="AW23" s="131">
        <f>(AW$2/$AF23)*5</f>
        <v>4.0476190476190474</v>
      </c>
      <c r="AX23" s="131">
        <f>(AX$2/$AF23)*5</f>
        <v>4.2857142857142856</v>
      </c>
      <c r="AY23" s="131">
        <f>(AY$2/$AF23)*5</f>
        <v>4.5238095238095237</v>
      </c>
      <c r="AZ23" s="131">
        <f>(AZ$2/$AF23)*5</f>
        <v>4.7619047619047619</v>
      </c>
      <c r="BA23" s="131">
        <v>10</v>
      </c>
      <c r="BI23" s="127">
        <f>IF('Liste Armée'!P33="-",0,IF(OR('Liste Armée'!E33="LH",'Liste Armée'!E33="LF"),0.5,IF('Liste Armée'!E33="SCh",0,1)))</f>
        <v>0</v>
      </c>
      <c r="BJ23" s="127" t="str">
        <f>IF(OR('Liste Armée'!$E33="HF",'Liste Armée'!$E33="MF",'Liste Armée'!$E33="LF"),"infanterie",IF(OR('Liste Armée'!$E33="Kn",'Liste Armée'!$E33="Ct",'Liste Armée'!$E33="Cv",'Liste Armée'!$E33="LH",'Liste Armée'!$E33="LCh",'Liste Armée'!$E33="HCh",'Liste Armée'!$E33="SCh",'Liste Armée'!$E33="EL"),"montes",IF(OR('Liste Armée'!$E33="BWG"),"BWG","special")))</f>
        <v>special</v>
      </c>
      <c r="BK23" s="127">
        <f ca="1">VLOOKUP('Liste Armée'!$E33&amp;" "&amp;'Liste Armée'!$F33,Table_budget,MATCH('Liste Armée'!$G33,Colonnes_table_budget,FALSE),FALSE)
   +IF('Liste Armée'!$H33=VLOOKUP("Drilled",Zone_Traduction,ref_langue,FALSE),VLOOKUP('Liste Armée'!$E33&amp;" "&amp;'Liste Armée'!$F33,Table_budget,MATCH(VLOOKUP("Drilled",Zone_Traduction,ref_langue,FALSE),Colonnes_table_budget,FALSE),FALSE),0)
   +IF(ISERROR(VLOOKUP(BJ23&amp;" "&amp;$G23,Table_armes_tir,2,FALSE)),0,VLOOKUP(BJ23&amp;" "&amp;$G23,Table_armes_tir,2,FALSE))
   +IF(ISERROR(VLOOKUP(BJ23&amp;" "&amp;$I23,Table_armes_melee,2,FALSE)),0,VLOOKUP(BJ23&amp;" "&amp;$I23,Table_armes_melee,2,FALSE))
   +IF(ISERROR(VLOOKUP($J24,Table_special,2,FALSE)),0,VLOOKUP($J24,Table_special,2,FALSE))</f>
        <v>0</v>
      </c>
      <c r="BL23" s="127">
        <f ca="1">'Liste Armée'!$M33*'Liste Armée'!$L33</f>
        <v>0</v>
      </c>
      <c r="BM23" s="126"/>
      <c r="BN23" s="127">
        <f>IF(OR('Liste Armée'!$E33="CV",'Liste Armée'!$E33="LH",'Liste Armée'!$E33="LCH"),'Liste Armée'!$L33,0)</f>
        <v>0</v>
      </c>
    </row>
    <row r="24" spans="1:66" ht="12.75" customHeight="1">
      <c r="A24" s="200" t="s">
        <v>210</v>
      </c>
      <c r="B24" s="204" t="str">
        <f ca="1">CONCATENATE("LH"," ",VLOOKUP("Armoured",Zone_Traduction,ref_langue,FALSE))</f>
        <v>LH Armoured</v>
      </c>
      <c r="C24" s="133">
        <v>17</v>
      </c>
      <c r="D24" s="133">
        <v>14</v>
      </c>
      <c r="E24" s="133">
        <v>9</v>
      </c>
      <c r="F24" s="133">
        <v>6</v>
      </c>
      <c r="G24" s="133">
        <v>0</v>
      </c>
      <c r="H24" s="213">
        <v>0</v>
      </c>
      <c r="J24" s="204" t="str">
        <f ca="1">CONCATENATE("montes"," ",VLOOKUP("Lancer",Zone_Traduction,ref_langue,FALSE))</f>
        <v>montes Lancer</v>
      </c>
      <c r="K24" s="283">
        <v>1</v>
      </c>
      <c r="M24" s="280">
        <v>4</v>
      </c>
      <c r="N24" s="284" t="s">
        <v>86</v>
      </c>
      <c r="Q24" s="131" t="str">
        <f ca="1">VLOOKUP("Armoured",Zone_Traduction,ref_langue,FALSE)</f>
        <v>Armoured</v>
      </c>
      <c r="R24" s="199" t="s">
        <v>30</v>
      </c>
      <c r="AF24" s="203">
        <v>22</v>
      </c>
      <c r="AG24" s="131">
        <f t="shared" si="3"/>
        <v>0.22727272727272729</v>
      </c>
      <c r="AH24" s="131">
        <f t="shared" si="3"/>
        <v>0.45454545454545459</v>
      </c>
      <c r="AI24" s="131">
        <f t="shared" si="3"/>
        <v>0.68181818181818177</v>
      </c>
      <c r="AJ24" s="131">
        <f t="shared" si="3"/>
        <v>0.90909090909090917</v>
      </c>
      <c r="AK24" s="131">
        <f t="shared" si="3"/>
        <v>1.1363636363636362</v>
      </c>
      <c r="AL24" s="131">
        <f t="shared" si="3"/>
        <v>1.3636363636363635</v>
      </c>
      <c r="AM24" s="131">
        <f t="shared" si="3"/>
        <v>1.5909090909090908</v>
      </c>
      <c r="AN24" s="131">
        <f t="shared" si="3"/>
        <v>1.8181818181818183</v>
      </c>
      <c r="AO24" s="131">
        <f t="shared" si="3"/>
        <v>2.0454545454545454</v>
      </c>
      <c r="AP24" s="131">
        <f t="shared" si="3"/>
        <v>2.2727272727272725</v>
      </c>
      <c r="AQ24" s="131">
        <f t="shared" si="3"/>
        <v>2.5</v>
      </c>
      <c r="AR24" s="131">
        <f t="shared" si="3"/>
        <v>2.7272727272727271</v>
      </c>
      <c r="AS24" s="131">
        <f t="shared" si="3"/>
        <v>2.9545454545454546</v>
      </c>
      <c r="AT24" s="131">
        <f t="shared" si="3"/>
        <v>3.1818181818181817</v>
      </c>
      <c r="AU24" s="131">
        <f t="shared" si="3"/>
        <v>3.4090909090909087</v>
      </c>
      <c r="AV24" s="131">
        <f t="shared" si="3"/>
        <v>3.6363636363636367</v>
      </c>
      <c r="AW24" s="131">
        <f>(AW$2/$AF24)*5</f>
        <v>3.8636363636363633</v>
      </c>
      <c r="AX24" s="131">
        <f>(AX$2/$AF24)*5</f>
        <v>4.0909090909090908</v>
      </c>
      <c r="AY24" s="131">
        <f>(AY$2/$AF24)*5</f>
        <v>4.3181818181818183</v>
      </c>
      <c r="AZ24" s="131">
        <f>(AZ$2/$AF24)*5</f>
        <v>4.545454545454545</v>
      </c>
      <c r="BA24" s="131">
        <f>(BA$2/$AF24)*5</f>
        <v>4.7727272727272734</v>
      </c>
      <c r="BB24" s="131">
        <v>10</v>
      </c>
      <c r="BI24" s="127">
        <f>IF('Liste Armée'!P34="-",0,IF(OR('Liste Armée'!E34="LH",'Liste Armée'!E34="LF"),0.5,IF('Liste Armée'!E34="SCh",0,1)))</f>
        <v>0</v>
      </c>
      <c r="BJ24" s="127" t="str">
        <f>IF(OR('Liste Armée'!$E34="HF",'Liste Armée'!$E34="MF",'Liste Armée'!$E34="LF"),"infanterie",IF(OR('Liste Armée'!$E34="Kn",'Liste Armée'!$E34="Ct",'Liste Armée'!$E34="Cv",'Liste Armée'!$E34="LH",'Liste Armée'!$E34="LCh",'Liste Armée'!$E34="HCh",'Liste Armée'!$E34="SCh",'Liste Armée'!$E34="EL"),"montes",IF(OR('Liste Armée'!$E34="BWG"),"BWG","special")))</f>
        <v>special</v>
      </c>
      <c r="BK24" s="127">
        <f ca="1">VLOOKUP('Liste Armée'!$E34&amp;" "&amp;'Liste Armée'!$F34,Table_budget,MATCH('Liste Armée'!$G34,Colonnes_table_budget,FALSE),FALSE)
   +IF('Liste Armée'!$H34=VLOOKUP("Drilled",Zone_Traduction,ref_langue,FALSE),VLOOKUP('Liste Armée'!$E34&amp;" "&amp;'Liste Armée'!$F34,Table_budget,MATCH(VLOOKUP("Drilled",Zone_Traduction,ref_langue,FALSE),Colonnes_table_budget,FALSE),FALSE),0)
   +IF(ISERROR(VLOOKUP(BJ24&amp;" "&amp;$G24,Table_armes_tir,2,FALSE)),0,VLOOKUP(BJ24&amp;" "&amp;$G24,Table_armes_tir,2,FALSE))
   +IF(ISERROR(VLOOKUP(BJ24&amp;" "&amp;$I24,Table_armes_melee,2,FALSE)),0,VLOOKUP(BJ24&amp;" "&amp;$I24,Table_armes_melee,2,FALSE))
   +IF(ISERROR(VLOOKUP($J25,Table_special,2,FALSE)),0,VLOOKUP($J25,Table_special,2,FALSE))</f>
        <v>0</v>
      </c>
      <c r="BL24" s="127">
        <f ca="1">'Liste Armée'!$M34*'Liste Armée'!$L34</f>
        <v>0</v>
      </c>
      <c r="BM24" s="126"/>
      <c r="BN24" s="127">
        <f>IF(OR('Liste Armée'!$E34="CV",'Liste Armée'!$E34="LH",'Liste Armée'!$E34="LCH"),'Liste Armée'!$L34,0)</f>
        <v>0</v>
      </c>
    </row>
    <row r="25" spans="1:66" ht="12.75" customHeight="1">
      <c r="A25" s="200" t="s">
        <v>210</v>
      </c>
      <c r="B25" s="204" t="str">
        <f ca="1">CONCATENATE("LH"," ",VLOOKUP("Protected",Zone_Traduction,ref_langue,FALSE))</f>
        <v>LH Protected</v>
      </c>
      <c r="C25" s="133">
        <v>12</v>
      </c>
      <c r="D25" s="133">
        <v>10</v>
      </c>
      <c r="E25" s="133">
        <v>6</v>
      </c>
      <c r="F25" s="133">
        <v>4</v>
      </c>
      <c r="G25" s="133">
        <v>0</v>
      </c>
      <c r="H25" s="213">
        <v>0</v>
      </c>
      <c r="J25" s="204" t="str">
        <f ca="1">CONCATENATE("infanterie"," ",VLOOKUP("impact foot",Zone_Traduction,ref_langue,FALSE))</f>
        <v>infanterie Impact Foot</v>
      </c>
      <c r="K25" s="283">
        <v>1</v>
      </c>
      <c r="M25" s="280">
        <v>5</v>
      </c>
      <c r="N25" s="284" t="s">
        <v>87</v>
      </c>
      <c r="Q25" s="131" t="str">
        <f ca="1">VLOOKUP("Protected",Zone_Traduction,ref_langue,FALSE)</f>
        <v>Protected</v>
      </c>
      <c r="AF25" s="203">
        <v>23</v>
      </c>
      <c r="AG25" s="131">
        <f t="shared" si="3"/>
        <v>0.21739130434782608</v>
      </c>
      <c r="AH25" s="131">
        <f t="shared" si="3"/>
        <v>0.43478260869565216</v>
      </c>
      <c r="AI25" s="131">
        <f t="shared" si="3"/>
        <v>0.65217391304347827</v>
      </c>
      <c r="AJ25" s="131">
        <f t="shared" si="3"/>
        <v>0.86956521739130432</v>
      </c>
      <c r="AK25" s="131">
        <f t="shared" si="3"/>
        <v>1.0869565217391304</v>
      </c>
      <c r="AL25" s="131">
        <f t="shared" si="3"/>
        <v>1.3043478260869565</v>
      </c>
      <c r="AM25" s="131">
        <f t="shared" si="3"/>
        <v>1.5217391304347827</v>
      </c>
      <c r="AN25" s="131">
        <f t="shared" si="3"/>
        <v>1.7391304347826086</v>
      </c>
      <c r="AO25" s="131">
        <f t="shared" si="3"/>
        <v>1.9565217391304348</v>
      </c>
      <c r="AP25" s="131">
        <f t="shared" si="3"/>
        <v>2.1739130434782608</v>
      </c>
      <c r="AQ25" s="131">
        <f t="shared" si="3"/>
        <v>2.3913043478260869</v>
      </c>
      <c r="AR25" s="131">
        <f t="shared" si="3"/>
        <v>2.6086956521739131</v>
      </c>
      <c r="AS25" s="131">
        <f t="shared" si="3"/>
        <v>2.8260869565217388</v>
      </c>
      <c r="AT25" s="131">
        <f t="shared" si="3"/>
        <v>3.0434782608695654</v>
      </c>
      <c r="AU25" s="131">
        <f t="shared" si="3"/>
        <v>3.2608695652173916</v>
      </c>
      <c r="AV25" s="131">
        <f t="shared" si="3"/>
        <v>3.4782608695652173</v>
      </c>
      <c r="AW25" s="131">
        <f t="shared" ref="AW25:BB25" si="4">(AW$2/$AF25)*5</f>
        <v>3.695652173913043</v>
      </c>
      <c r="AX25" s="131">
        <f t="shared" si="4"/>
        <v>3.9130434782608696</v>
      </c>
      <c r="AY25" s="131">
        <f t="shared" si="4"/>
        <v>4.1304347826086953</v>
      </c>
      <c r="AZ25" s="131">
        <f t="shared" si="4"/>
        <v>4.3478260869565215</v>
      </c>
      <c r="BA25" s="131">
        <f t="shared" si="4"/>
        <v>4.5652173913043477</v>
      </c>
      <c r="BB25" s="131">
        <f t="shared" si="4"/>
        <v>4.7826086956521738</v>
      </c>
      <c r="BC25" s="131">
        <v>10</v>
      </c>
      <c r="BI25" s="127">
        <f>IF('Liste Armée'!P35="-",0,IF(OR('Liste Armée'!E35="LH",'Liste Armée'!E35="LF"),0.5,IF('Liste Armée'!E35="SCh",0,1)))</f>
        <v>0</v>
      </c>
      <c r="BJ25" s="127" t="str">
        <f>IF(OR('Liste Armée'!$E35="HF",'Liste Armée'!$E35="MF",'Liste Armée'!$E35="LF"),"infanterie",IF(OR('Liste Armée'!$E35="Kn",'Liste Armée'!$E35="Ct",'Liste Armée'!$E35="Cv",'Liste Armée'!$E35="LH",'Liste Armée'!$E35="LCh",'Liste Armée'!$E35="HCh",'Liste Armée'!$E35="SCh",'Liste Armée'!$E35="EL"),"montes",IF(OR('Liste Armée'!$E35="BWG"),"BWG","special")))</f>
        <v>special</v>
      </c>
      <c r="BK25" s="127">
        <f ca="1">VLOOKUP('Liste Armée'!$E35&amp;" "&amp;'Liste Armée'!$F35,Table_budget,MATCH('Liste Armée'!$G35,Colonnes_table_budget,FALSE),FALSE)
   +IF('Liste Armée'!$H35=VLOOKUP("Drilled",Zone_Traduction,ref_langue,FALSE),VLOOKUP('Liste Armée'!$E35&amp;" "&amp;'Liste Armée'!$F35,Table_budget,MATCH(VLOOKUP("Drilled",Zone_Traduction,ref_langue,FALSE),Colonnes_table_budget,FALSE),FALSE),0)
   +IF(ISERROR(VLOOKUP(BJ25&amp;" "&amp;$G25,Table_armes_tir,2,FALSE)),0,VLOOKUP(BJ25&amp;" "&amp;$G25,Table_armes_tir,2,FALSE))
   +IF(ISERROR(VLOOKUP(BJ25&amp;" "&amp;$I25,Table_armes_melee,2,FALSE)),0,VLOOKUP(BJ25&amp;" "&amp;$I25,Table_armes_melee,2,FALSE))
   +IF(ISERROR(VLOOKUP($J26,Table_special,2,FALSE)),0,VLOOKUP($J26,Table_special,2,FALSE))</f>
        <v>0</v>
      </c>
      <c r="BL25" s="127">
        <f ca="1">'Liste Armée'!$M35*'Liste Armée'!$L35</f>
        <v>0</v>
      </c>
      <c r="BM25" s="126"/>
      <c r="BN25" s="127">
        <f>IF(OR('Liste Armée'!$E35="CV",'Liste Armée'!$E35="LH",'Liste Armée'!$E35="LCH"),'Liste Armée'!$L35,0)</f>
        <v>0</v>
      </c>
    </row>
    <row r="26" spans="1:66" ht="12.75" customHeight="1">
      <c r="A26" s="200" t="s">
        <v>210</v>
      </c>
      <c r="B26" s="204" t="str">
        <f ca="1">CONCATENATE("LH"," ",VLOOKUP("Unprotected",Zone_Traduction,ref_langue,FALSE))</f>
        <v>LH Unprotected</v>
      </c>
      <c r="C26" s="133">
        <v>10</v>
      </c>
      <c r="D26" s="133">
        <v>8</v>
      </c>
      <c r="E26" s="133">
        <v>5</v>
      </c>
      <c r="F26" s="133">
        <v>3</v>
      </c>
      <c r="G26" s="133">
        <v>0</v>
      </c>
      <c r="H26" s="213">
        <v>0</v>
      </c>
      <c r="J26" s="204" t="str">
        <f ca="1">CONCATENATE("infanterie"," ",VLOOKUP("Offensive spearmen",Zone_Traduction,ref_langue,FALSE))</f>
        <v>infanterie Offensive Spearmen</v>
      </c>
      <c r="K26" s="283">
        <v>2</v>
      </c>
      <c r="M26" s="280">
        <v>6</v>
      </c>
      <c r="N26" s="284" t="s">
        <v>88</v>
      </c>
      <c r="Q26" s="131" t="str">
        <f ca="1">VLOOKUP("Unprotected",Zone_Traduction,ref_langue,FALSE)</f>
        <v>Unprotected</v>
      </c>
      <c r="R26" s="199" t="s">
        <v>1205</v>
      </c>
      <c r="T26" s="347" t="s">
        <v>1239</v>
      </c>
      <c r="BI26" s="127">
        <f>IF('Liste Armée'!P36="-",0,IF(OR('Liste Armée'!E36="LH",'Liste Armée'!E36="LF"),0.5,IF('Liste Armée'!E36="SCh",0,1)))</f>
        <v>0</v>
      </c>
      <c r="BJ26" s="127" t="str">
        <f>IF(OR('Liste Armée'!$E36="HF",'Liste Armée'!$E36="MF",'Liste Armée'!$E36="LF"),"infanterie",IF(OR('Liste Armée'!$E36="Kn",'Liste Armée'!$E36="Ct",'Liste Armée'!$E36="Cv",'Liste Armée'!$E36="LH",'Liste Armée'!$E36="LCh",'Liste Armée'!$E36="HCh",'Liste Armée'!$E36="SCh",'Liste Armée'!$E36="EL"),"montes",IF(OR('Liste Armée'!$E36="BWG"),"BWG","special")))</f>
        <v>special</v>
      </c>
      <c r="BK26" s="127">
        <f ca="1">VLOOKUP('Liste Armée'!$E36&amp;" "&amp;'Liste Armée'!$F36,Table_budget,MATCH('Liste Armée'!$G36,Colonnes_table_budget,FALSE),FALSE)
   +IF('Liste Armée'!$H36=VLOOKUP("Drilled",Zone_Traduction,ref_langue,FALSE),VLOOKUP('Liste Armée'!$E36&amp;" "&amp;'Liste Armée'!$F36,Table_budget,MATCH(VLOOKUP("Drilled",Zone_Traduction,ref_langue,FALSE),Colonnes_table_budget,FALSE),FALSE),0)
   +IF(ISERROR(VLOOKUP(BJ26&amp;" "&amp;$G26,Table_armes_tir,2,FALSE)),0,VLOOKUP(BJ26&amp;" "&amp;$G26,Table_armes_tir,2,FALSE))
   +IF(ISERROR(VLOOKUP(BJ26&amp;" "&amp;$I26,Table_armes_melee,2,FALSE)),0,VLOOKUP(BJ26&amp;" "&amp;$I26,Table_armes_melee,2,FALSE))
   +IF(ISERROR(VLOOKUP($J27,Table_special,2,FALSE)),0,VLOOKUP($J27,Table_special,2,FALSE))</f>
        <v>0</v>
      </c>
      <c r="BL26" s="127">
        <f ca="1">'Liste Armée'!$M36*'Liste Armée'!$L36</f>
        <v>0</v>
      </c>
      <c r="BM26" s="126"/>
      <c r="BN26" s="127">
        <f>IF(OR('Liste Armée'!$E36="CV",'Liste Armée'!$E36="LH",'Liste Armée'!$E36="LCH"),'Liste Armée'!$L36,0)</f>
        <v>0</v>
      </c>
    </row>
    <row r="27" spans="1:66" ht="12.75" customHeight="1">
      <c r="A27" s="200" t="s">
        <v>22</v>
      </c>
      <c r="B27" s="204" t="s">
        <v>212</v>
      </c>
      <c r="C27" s="133">
        <v>22</v>
      </c>
      <c r="D27" s="133">
        <v>19</v>
      </c>
      <c r="E27" s="133">
        <v>13</v>
      </c>
      <c r="F27" s="133"/>
      <c r="G27" s="133">
        <v>2</v>
      </c>
      <c r="H27" s="213">
        <v>0</v>
      </c>
      <c r="J27" s="204" t="str">
        <f ca="1">CONCATENATE("infanterie"," ",VLOOKUP("defensive spearmen",Zone_Traduction,ref_langue,FALSE))</f>
        <v>infanterie Defensive Spearmen</v>
      </c>
      <c r="K27" s="283">
        <v>1</v>
      </c>
      <c r="M27" s="280">
        <v>7</v>
      </c>
      <c r="N27" s="284" t="s">
        <v>89</v>
      </c>
      <c r="Q27" s="131" t="s">
        <v>30</v>
      </c>
      <c r="R27" s="199" t="str">
        <f ca="1">T27</f>
        <v>Bow</v>
      </c>
      <c r="T27" s="131" t="str">
        <f ca="1">VLOOKUP("Bow",Zone_Traduction,ref_langue,FALSE)</f>
        <v>Bow</v>
      </c>
      <c r="BI27" s="127">
        <f>IF('Liste Armée'!P37="-",0,IF(OR('Liste Armée'!E37="LH",'Liste Armée'!E37="LF"),0.5,IF('Liste Armée'!E37="SCh",0,1)))</f>
        <v>0</v>
      </c>
      <c r="BJ27" s="127" t="str">
        <f>IF(OR('Liste Armée'!$E37="HF",'Liste Armée'!$E37="MF",'Liste Armée'!$E37="LF"),"infanterie",IF(OR('Liste Armée'!$E37="Kn",'Liste Armée'!$E37="Ct",'Liste Armée'!$E37="Cv",'Liste Armée'!$E37="LH",'Liste Armée'!$E37="LCh",'Liste Armée'!$E37="HCh",'Liste Armée'!$E37="SCh",'Liste Armée'!$E37="EL"),"montes",IF(OR('Liste Armée'!$E37="BWG"),"BWG","special")))</f>
        <v>special</v>
      </c>
      <c r="BK27" s="127">
        <f ca="1">VLOOKUP('Liste Armée'!$E37&amp;" "&amp;'Liste Armée'!$F37,Table_budget,MATCH('Liste Armée'!$G37,Colonnes_table_budget,FALSE),FALSE)
   +IF('Liste Armée'!$H37=VLOOKUP("Drilled",Zone_Traduction,ref_langue,FALSE),VLOOKUP('Liste Armée'!$E37&amp;" "&amp;'Liste Armée'!$F37,Table_budget,MATCH(VLOOKUP("Drilled",Zone_Traduction,ref_langue,FALSE),Colonnes_table_budget,FALSE),FALSE),0)
   +IF(ISERROR(VLOOKUP(BJ27&amp;" "&amp;$G27,Table_armes_tir,2,FALSE)),0,VLOOKUP(BJ27&amp;" "&amp;$G27,Table_armes_tir,2,FALSE))
   +IF(ISERROR(VLOOKUP(BJ27&amp;" "&amp;$I27,Table_armes_melee,2,FALSE)),0,VLOOKUP(BJ27&amp;" "&amp;$I27,Table_armes_melee,2,FALSE))
   +IF(ISERROR(VLOOKUP($J28,Table_special,2,FALSE)),0,VLOOKUP($J28,Table_special,2,FALSE))</f>
        <v>0</v>
      </c>
      <c r="BL27" s="127">
        <f ca="1">'Liste Armée'!$M37*'Liste Armée'!$L37</f>
        <v>0</v>
      </c>
      <c r="BM27" s="126"/>
      <c r="BN27" s="127">
        <f>IF(OR('Liste Armée'!$E37="CV",'Liste Armée'!$E37="LH",'Liste Armée'!$E37="LCH"),'Liste Armée'!$L37,0)</f>
        <v>0</v>
      </c>
    </row>
    <row r="28" spans="1:66" ht="12.75" customHeight="1">
      <c r="A28" s="200" t="s">
        <v>22</v>
      </c>
      <c r="B28" s="204" t="s">
        <v>211</v>
      </c>
      <c r="C28" s="133">
        <v>17</v>
      </c>
      <c r="D28" s="133">
        <v>15</v>
      </c>
      <c r="E28" s="133">
        <v>10</v>
      </c>
      <c r="F28" s="133"/>
      <c r="G28" s="133">
        <v>1</v>
      </c>
      <c r="H28" s="213">
        <v>0</v>
      </c>
      <c r="J28" s="204" t="str">
        <f ca="1">CONCATENATE("infanterie"," ",VLOOKUP("Heavy weapon",Zone_Traduction,ref_langue,FALSE))</f>
        <v>infanterie Heavy Weapon</v>
      </c>
      <c r="K28" s="283">
        <v>2</v>
      </c>
      <c r="M28" s="280">
        <v>8</v>
      </c>
      <c r="N28" s="284" t="s">
        <v>90</v>
      </c>
      <c r="R28" s="199" t="str">
        <f ca="1">T31</f>
        <v>Javelins</v>
      </c>
      <c r="T28" s="131" t="str">
        <f ca="1">VLOOKUP("Bw*",Zone_Traduction,ref_langue,FALSE)</f>
        <v>Bw*</v>
      </c>
      <c r="AF28" s="285" t="s">
        <v>30</v>
      </c>
      <c r="AI28" s="131">
        <f t="shared" ref="AI28:BA28" si="5">ROUNDUP(AI4,0)</f>
        <v>0</v>
      </c>
      <c r="AJ28" s="131">
        <f t="shared" si="5"/>
        <v>0</v>
      </c>
      <c r="AK28" s="131">
        <f t="shared" si="5"/>
        <v>0</v>
      </c>
      <c r="AL28" s="131">
        <f t="shared" si="5"/>
        <v>0</v>
      </c>
      <c r="AM28" s="131">
        <f t="shared" si="5"/>
        <v>0</v>
      </c>
      <c r="AN28" s="131">
        <f t="shared" si="5"/>
        <v>0</v>
      </c>
      <c r="AO28" s="131">
        <f t="shared" si="5"/>
        <v>0</v>
      </c>
      <c r="AP28" s="131">
        <f t="shared" si="5"/>
        <v>0</v>
      </c>
      <c r="AQ28" s="131">
        <f t="shared" si="5"/>
        <v>0</v>
      </c>
      <c r="AR28" s="131">
        <f t="shared" si="5"/>
        <v>0</v>
      </c>
      <c r="AS28" s="131">
        <f t="shared" si="5"/>
        <v>0</v>
      </c>
      <c r="AT28" s="131">
        <f t="shared" si="5"/>
        <v>0</v>
      </c>
      <c r="AU28" s="131">
        <f t="shared" si="5"/>
        <v>0</v>
      </c>
      <c r="AV28" s="131">
        <f t="shared" si="5"/>
        <v>0</v>
      </c>
      <c r="AW28" s="131">
        <f t="shared" si="5"/>
        <v>0</v>
      </c>
      <c r="AX28" s="131">
        <f t="shared" si="5"/>
        <v>0</v>
      </c>
      <c r="AY28" s="131">
        <f t="shared" si="5"/>
        <v>0</v>
      </c>
      <c r="AZ28" s="131">
        <f t="shared" si="5"/>
        <v>0</v>
      </c>
      <c r="BA28" s="131">
        <f t="shared" si="5"/>
        <v>0</v>
      </c>
      <c r="BI28" s="127">
        <f>IF('Liste Armée'!P38="-",0,IF(OR('Liste Armée'!E38="LH",'Liste Armée'!E38="LF"),0.5,IF('Liste Armée'!E38="SCh",0,1)))</f>
        <v>0</v>
      </c>
      <c r="BJ28" s="127" t="str">
        <f>IF(OR('Liste Armée'!$E38="HF",'Liste Armée'!$E38="MF",'Liste Armée'!$E38="LF"),"infanterie",IF(OR('Liste Armée'!$E38="Kn",'Liste Armée'!$E38="Ct",'Liste Armée'!$E38="Cv",'Liste Armée'!$E38="LH",'Liste Armée'!$E38="LCh",'Liste Armée'!$E38="HCh",'Liste Armée'!$E38="SCh",'Liste Armée'!$E38="EL"),"montes",IF(OR('Liste Armée'!$E38="BWG"),"BWG","special")))</f>
        <v>special</v>
      </c>
      <c r="BK28" s="127">
        <f ca="1">VLOOKUP('Liste Armée'!$E38&amp;" "&amp;'Liste Armée'!$F38,Table_budget,MATCH('Liste Armée'!$G38,Colonnes_table_budget,FALSE),FALSE)
   +IF('Liste Armée'!$H38=VLOOKUP("Drilled",Zone_Traduction,ref_langue,FALSE),VLOOKUP('Liste Armée'!$E38&amp;" "&amp;'Liste Armée'!$F38,Table_budget,MATCH(VLOOKUP("Drilled",Zone_Traduction,ref_langue,FALSE),Colonnes_table_budget,FALSE),FALSE),0)
   +IF(ISERROR(VLOOKUP(BJ28&amp;" "&amp;$G28,Table_armes_tir,2,FALSE)),0,VLOOKUP(BJ28&amp;" "&amp;$G28,Table_armes_tir,2,FALSE))
   +IF(ISERROR(VLOOKUP(BJ28&amp;" "&amp;$I28,Table_armes_melee,2,FALSE)),0,VLOOKUP(BJ28&amp;" "&amp;$I28,Table_armes_melee,2,FALSE))
   +IF(ISERROR(VLOOKUP($J30,Table_special,2,FALSE)),0,VLOOKUP($J30,Table_special,2,FALSE))</f>
        <v>0</v>
      </c>
      <c r="BL28" s="127">
        <f ca="1">'Liste Armée'!$M38*'Liste Armée'!$L38</f>
        <v>0</v>
      </c>
      <c r="BM28" s="126"/>
      <c r="BN28" s="127">
        <f>IF(OR('Liste Armée'!$E38="CV",'Liste Armée'!$E38="LH",'Liste Armée'!$E38="LCH"),'Liste Armée'!$L38,0)</f>
        <v>0</v>
      </c>
    </row>
    <row r="29" spans="1:66" ht="12.75" customHeight="1">
      <c r="A29" s="200" t="s">
        <v>22</v>
      </c>
      <c r="B29" s="204" t="s">
        <v>28</v>
      </c>
      <c r="C29" s="133"/>
      <c r="D29" s="133"/>
      <c r="E29" s="133">
        <v>15</v>
      </c>
      <c r="F29" s="133"/>
      <c r="G29" s="219">
        <v>0</v>
      </c>
      <c r="H29" s="213">
        <v>0</v>
      </c>
      <c r="J29" s="252" t="s">
        <v>1191</v>
      </c>
      <c r="K29" s="283">
        <v>2</v>
      </c>
      <c r="M29" s="280">
        <v>9</v>
      </c>
      <c r="N29" s="284" t="s">
        <v>91</v>
      </c>
      <c r="Q29" s="131" t="s">
        <v>1194</v>
      </c>
      <c r="R29" s="199" t="str">
        <f ca="1">T29</f>
        <v>Crossbow</v>
      </c>
      <c r="T29" s="131" t="str">
        <f ca="1">VLOOKUP("Crossbow",Zone_Traduction,ref_langue,FALSE)</f>
        <v>Crossbow</v>
      </c>
      <c r="AF29" s="203">
        <v>0</v>
      </c>
      <c r="BI29" s="127">
        <f>IF('Liste Armée'!P39="-",0,IF(OR('Liste Armée'!E39="LH",'Liste Armée'!E39="LF"),0.5,IF('Liste Armée'!E39="SCh",0,1)))</f>
        <v>0</v>
      </c>
      <c r="BJ29" s="127" t="str">
        <f>IF(OR('Liste Armée'!$E39="HF",'Liste Armée'!$E39="MF",'Liste Armée'!$E39="LF"),"infanterie",IF(OR('Liste Armée'!$E39="Kn",'Liste Armée'!$E39="Ct",'Liste Armée'!$E39="Cv",'Liste Armée'!$E39="LH",'Liste Armée'!$E39="LCh",'Liste Armée'!$E39="HCh",'Liste Armée'!$E39="SCh",'Liste Armée'!$E39="EL"),"montes",IF(OR('Liste Armée'!$E39="BWG"),"BWG","special")))</f>
        <v>special</v>
      </c>
      <c r="BK29" s="127">
        <f ca="1">VLOOKUP('Liste Armée'!$E39&amp;" "&amp;'Liste Armée'!$F39,Table_budget,MATCH('Liste Armée'!$G39,Colonnes_table_budget,FALSE),FALSE)
   +IF('Liste Armée'!$H39=VLOOKUP("Drilled",Zone_Traduction,ref_langue,FALSE),VLOOKUP('Liste Armée'!$E39&amp;" "&amp;'Liste Armée'!$F39,Table_budget,MATCH(VLOOKUP("Drilled",Zone_Traduction,ref_langue,FALSE),Colonnes_table_budget,FALSE),FALSE),0)
   +IF(ISERROR(VLOOKUP(BJ29&amp;" "&amp;$G29,Table_armes_tir,2,FALSE)),0,VLOOKUP(BJ29&amp;" "&amp;$G29,Table_armes_tir,2,FALSE))
   +IF(ISERROR(VLOOKUP(BJ29&amp;" "&amp;$I29,Table_armes_melee,2,FALSE)),0,VLOOKUP(BJ29&amp;" "&amp;$I29,Table_armes_melee,2,FALSE))
   +IF(ISERROR(VLOOKUP($J31,Table_special,2,FALSE)),0,VLOOKUP($J31,Table_special,2,FALSE))</f>
        <v>0</v>
      </c>
      <c r="BL29" s="127">
        <f ca="1">'Liste Armée'!$M39*'Liste Armée'!$L39</f>
        <v>0</v>
      </c>
      <c r="BM29" s="126"/>
      <c r="BN29" s="127">
        <f>IF(OR('Liste Armée'!$E39="CV",'Liste Armée'!$E39="LH",'Liste Armée'!$E39="LCH"),'Liste Armée'!$L39,0)</f>
        <v>0</v>
      </c>
    </row>
    <row r="30" spans="1:66" ht="12.75" customHeight="1">
      <c r="A30" s="200" t="s">
        <v>11</v>
      </c>
      <c r="B30" s="204" t="s">
        <v>29</v>
      </c>
      <c r="C30" s="133"/>
      <c r="D30" s="219">
        <v>35</v>
      </c>
      <c r="E30" s="133">
        <v>25</v>
      </c>
      <c r="F30" s="133">
        <v>20</v>
      </c>
      <c r="G30" s="219">
        <v>0</v>
      </c>
      <c r="H30" s="213">
        <v>0</v>
      </c>
      <c r="J30" s="204" t="str">
        <f ca="1">CONCATENATE("BWG"," ",VLOOKUP("impact foot",Zone_Traduction,ref_langue,FALSE))</f>
        <v>BWG Impact Foot</v>
      </c>
      <c r="K30" s="283">
        <v>3</v>
      </c>
      <c r="M30" s="280">
        <v>10</v>
      </c>
      <c r="N30" s="284" t="s">
        <v>92</v>
      </c>
      <c r="Q30" s="131" t="str">
        <f ca="1">Q23</f>
        <v>Heavily Armoured</v>
      </c>
      <c r="R30" s="199" t="s">
        <v>30</v>
      </c>
      <c r="T30" s="131" t="str">
        <f ca="1">VLOOKUP("Firearm",Zone_Traduction,ref_langue,FALSE)</f>
        <v>Firearm</v>
      </c>
      <c r="BI30" s="127">
        <f>IF('Liste Armée'!P40="-",0,IF(OR('Liste Armée'!E40="LH",'Liste Armée'!E40="LF"),0.5,IF('Liste Armée'!E40="SCh",0,1)))</f>
        <v>0</v>
      </c>
      <c r="BJ30" s="127" t="str">
        <f>IF(OR('Liste Armée'!$E40="HF",'Liste Armée'!$E40="MF",'Liste Armée'!$E40="LF"),"infanterie",IF(OR('Liste Armée'!$E40="Kn",'Liste Armée'!$E40="Ct",'Liste Armée'!$E40="Cv",'Liste Armée'!$E40="LH",'Liste Armée'!$E40="LCh",'Liste Armée'!$E40="HCh",'Liste Armée'!$E40="SCh",'Liste Armée'!$E40="EL"),"montes",IF(OR('Liste Armée'!$E40="BWG"),"BWG","special")))</f>
        <v>special</v>
      </c>
      <c r="BK30" s="127">
        <f ca="1">VLOOKUP('Liste Armée'!$E40&amp;" "&amp;'Liste Armée'!$F40,Table_budget,MATCH('Liste Armée'!$G40,Colonnes_table_budget,FALSE),FALSE)
   +IF('Liste Armée'!$H40=VLOOKUP("Drilled",Zone_Traduction,ref_langue,FALSE),VLOOKUP('Liste Armée'!$E40&amp;" "&amp;'Liste Armée'!$F40,Table_budget,MATCH(VLOOKUP("Drilled",Zone_Traduction,ref_langue,FALSE),Colonnes_table_budget,FALSE),FALSE),0)
   +IF(ISERROR(VLOOKUP(BJ30&amp;" "&amp;$G30,Table_armes_tir,2,FALSE)),0,VLOOKUP(BJ30&amp;" "&amp;$G30,Table_armes_tir,2,FALSE))
   +IF(ISERROR(VLOOKUP(BJ30&amp;" "&amp;$I30,Table_armes_melee,2,FALSE)),0,VLOOKUP(BJ30&amp;" "&amp;$I30,Table_armes_melee,2,FALSE))
   +IF(ISERROR(VLOOKUP($J32,Table_special,2,FALSE)),0,VLOOKUP($J32,Table_special,2,FALSE))</f>
        <v>0</v>
      </c>
      <c r="BL30" s="127">
        <f ca="1">'Liste Armée'!$M40*'Liste Armée'!$L40</f>
        <v>0</v>
      </c>
      <c r="BM30" s="126"/>
      <c r="BN30" s="127">
        <f>IF(OR('Liste Armée'!$E40="CV",'Liste Armée'!$E40="LH",'Liste Armée'!$E40="LCH"),'Liste Armée'!$L40,0)</f>
        <v>0</v>
      </c>
    </row>
    <row r="31" spans="1:66" ht="12.75" customHeight="1">
      <c r="A31" s="200" t="s">
        <v>12</v>
      </c>
      <c r="B31" s="252" t="s">
        <v>216</v>
      </c>
      <c r="C31" s="133"/>
      <c r="D31" s="133"/>
      <c r="E31" s="133">
        <v>20</v>
      </c>
      <c r="F31" s="133"/>
      <c r="G31" s="133">
        <v>0</v>
      </c>
      <c r="H31" s="213">
        <v>0</v>
      </c>
      <c r="J31" s="204" t="str">
        <f ca="1">CONCATENATE("BWG"," ",VLOOKUP("Offensive spearmen",Zone_Traduction,ref_langue,FALSE))</f>
        <v>BWG Offensive Spearmen</v>
      </c>
      <c r="K31" s="283">
        <v>6</v>
      </c>
      <c r="M31" s="280">
        <v>11</v>
      </c>
      <c r="N31" s="284" t="s">
        <v>93</v>
      </c>
      <c r="Q31" s="131" t="str">
        <f ca="1">Q24</f>
        <v>Armoured</v>
      </c>
      <c r="T31" s="199" t="str">
        <f ca="1">VLOOKUP("Javelins",Zone_Traduction,ref_langue,FALSE)</f>
        <v>Javelins</v>
      </c>
      <c r="BI31" s="127">
        <f>IF('Liste Armée'!P41="-",0,IF(OR('Liste Armée'!E41="LH",'Liste Armée'!E41="LF"),0.5,IF('Liste Armée'!E41="SCh",0,1)))</f>
        <v>0</v>
      </c>
      <c r="BJ31" s="127" t="str">
        <f>IF(OR('Liste Armée'!$E41="HF",'Liste Armée'!$E41="MF",'Liste Armée'!$E41="LF"),"infanterie",IF(OR('Liste Armée'!$E41="Kn",'Liste Armée'!$E41="Ct",'Liste Armée'!$E41="Cv",'Liste Armée'!$E41="LH",'Liste Armée'!$E41="LCh",'Liste Armée'!$E41="HCh",'Liste Armée'!$E41="SCh",'Liste Armée'!$E41="EL"),"montes",IF(OR('Liste Armée'!$E41="BWG"),"BWG","special")))</f>
        <v>special</v>
      </c>
      <c r="BK31" s="127">
        <f ca="1">VLOOKUP('Liste Armée'!$E41&amp;" "&amp;'Liste Armée'!$F41,Table_budget,MATCH('Liste Armée'!$G41,Colonnes_table_budget,FALSE),FALSE)
   +IF('Liste Armée'!$H41=VLOOKUP("Drilled",Zone_Traduction,ref_langue,FALSE),VLOOKUP('Liste Armée'!$E41&amp;" "&amp;'Liste Armée'!$F41,Table_budget,MATCH(VLOOKUP("Drilled",Zone_Traduction,ref_langue,FALSE),Colonnes_table_budget,FALSE),FALSE),0)
   +IF(ISERROR(VLOOKUP(BJ31&amp;" "&amp;$G31,Table_armes_tir,2,FALSE)),0,VLOOKUP(BJ31&amp;" "&amp;$G31,Table_armes_tir,2,FALSE))
   +IF(ISERROR(VLOOKUP(BJ31&amp;" "&amp;$I31,Table_armes_melee,2,FALSE)),0,VLOOKUP(BJ31&amp;" "&amp;$I31,Table_armes_melee,2,FALSE))
   +IF(ISERROR(VLOOKUP($J33,Table_special,2,FALSE)),0,VLOOKUP($J33,Table_special,2,FALSE))</f>
        <v>0</v>
      </c>
      <c r="BL31" s="127">
        <f ca="1">'Liste Armée'!$M41*'Liste Armée'!$L41</f>
        <v>0</v>
      </c>
      <c r="BM31" s="126"/>
      <c r="BN31" s="127">
        <f>IF(OR('Liste Armée'!$E41="CV",'Liste Armée'!$E41="LH",'Liste Armée'!$E41="LCH"),'Liste Armée'!$L41,0)</f>
        <v>0</v>
      </c>
    </row>
    <row r="32" spans="1:66" ht="12.75" customHeight="1">
      <c r="A32" s="200" t="s">
        <v>13</v>
      </c>
      <c r="B32" s="252" t="s">
        <v>217</v>
      </c>
      <c r="C32" s="133"/>
      <c r="D32" s="133"/>
      <c r="E32" s="133">
        <v>15</v>
      </c>
      <c r="F32" s="133"/>
      <c r="G32" s="133">
        <v>2</v>
      </c>
      <c r="H32" s="213">
        <v>0</v>
      </c>
      <c r="J32" s="204" t="str">
        <f ca="1">CONCATENATE("BWG"," ",VLOOKUP("defensive spearmen",Zone_Traduction,ref_langue,FALSE))</f>
        <v>BWG Defensive Spearmen</v>
      </c>
      <c r="K32" s="283">
        <v>3</v>
      </c>
      <c r="M32" s="280">
        <v>12</v>
      </c>
      <c r="N32" s="284" t="s">
        <v>94</v>
      </c>
      <c r="Q32" s="131" t="s">
        <v>30</v>
      </c>
      <c r="R32" s="199" t="s">
        <v>1206</v>
      </c>
      <c r="T32" s="199" t="str">
        <f ca="1">VLOOKUP("Sling",Zone_Traduction,ref_langue,FALSE)</f>
        <v>Sling</v>
      </c>
      <c r="AF32" s="203">
        <v>6</v>
      </c>
      <c r="AG32" s="131">
        <v>2</v>
      </c>
      <c r="AH32" s="131">
        <v>3</v>
      </c>
      <c r="AI32" s="131">
        <v>5</v>
      </c>
      <c r="AJ32" s="131">
        <v>6</v>
      </c>
      <c r="AK32" s="131">
        <v>8</v>
      </c>
      <c r="AL32" s="131">
        <f t="shared" ref="AL32:AN34" si="6">ROUNDUP(AL8,0)</f>
        <v>10</v>
      </c>
      <c r="AM32" s="131">
        <f t="shared" si="6"/>
        <v>0</v>
      </c>
      <c r="AN32" s="131">
        <f t="shared" si="6"/>
        <v>0</v>
      </c>
      <c r="AO32" s="131">
        <f>ROUNDUP(AO8,0)</f>
        <v>0</v>
      </c>
      <c r="AP32" s="131">
        <f>ROUNDUP(AP8,0)</f>
        <v>0</v>
      </c>
      <c r="BI32" s="127">
        <f>IF('Liste Armée'!P42="-",0,IF(OR('Liste Armée'!E42="LH",'Liste Armée'!E42="LF"),0.5,IF('Liste Armée'!E42="SCh",0,1)))</f>
        <v>0</v>
      </c>
      <c r="BJ32" s="127" t="str">
        <f>IF(OR('Liste Armée'!$E42="HF",'Liste Armée'!$E42="MF",'Liste Armée'!$E42="LF"),"infanterie",IF(OR('Liste Armée'!$E42="Kn",'Liste Armée'!$E42="Ct",'Liste Armée'!$E42="Cv",'Liste Armée'!$E42="LH",'Liste Armée'!$E42="LCh",'Liste Armée'!$E42="HCh",'Liste Armée'!$E42="SCh",'Liste Armée'!$E42="EL"),"montes",IF(OR('Liste Armée'!$E42="BWG"),"BWG","special")))</f>
        <v>special</v>
      </c>
      <c r="BK32" s="127">
        <f ca="1">VLOOKUP('Liste Armée'!$E42&amp;" "&amp;'Liste Armée'!$F42,Table_budget,MATCH('Liste Armée'!$G42,Colonnes_table_budget,FALSE),FALSE)
   +IF('Liste Armée'!$H42=VLOOKUP("Drilled",Zone_Traduction,ref_langue,FALSE),VLOOKUP('Liste Armée'!$E42&amp;" "&amp;'Liste Armée'!$F42,Table_budget,MATCH(VLOOKUP("Drilled",Zone_Traduction,ref_langue,FALSE),Colonnes_table_budget,FALSE),FALSE),0)
   +IF(ISERROR(VLOOKUP(BJ32&amp;" "&amp;$G32,Table_armes_tir,2,FALSE)),0,VLOOKUP(BJ32&amp;" "&amp;$G32,Table_armes_tir,2,FALSE))
   +IF(ISERROR(VLOOKUP(BJ32&amp;" "&amp;$I32,Table_armes_melee,2,FALSE)),0,VLOOKUP(BJ32&amp;" "&amp;$I32,Table_armes_melee,2,FALSE))
   +IF(ISERROR(VLOOKUP($J34,Table_special,2,FALSE)),0,VLOOKUP($J34,Table_special,2,FALSE))</f>
        <v>0</v>
      </c>
      <c r="BL32" s="127">
        <f ca="1">'Liste Armée'!$M42*'Liste Armée'!$L42</f>
        <v>0</v>
      </c>
      <c r="BM32" s="126"/>
      <c r="BN32" s="127">
        <f>IF(OR('Liste Armée'!$E42="CV",'Liste Armée'!$E42="LH",'Liste Armée'!$E42="LCH"),'Liste Armée'!$L42,0)</f>
        <v>0</v>
      </c>
    </row>
    <row r="33" spans="1:66" ht="12.75" customHeight="1">
      <c r="A33" s="200" t="s">
        <v>207</v>
      </c>
      <c r="B33" s="252" t="s">
        <v>215</v>
      </c>
      <c r="C33" s="133"/>
      <c r="D33" s="133"/>
      <c r="E33" s="133">
        <v>14</v>
      </c>
      <c r="F33" s="133">
        <v>8</v>
      </c>
      <c r="G33" s="219">
        <v>0</v>
      </c>
      <c r="H33" s="213">
        <v>0</v>
      </c>
      <c r="J33" s="278" t="str">
        <f ca="1">CONCATENATE("BWG"," ",VLOOKUP("Heavy weapon",Zone_Traduction,ref_langue,FALSE))</f>
        <v>BWG Heavy Weapon</v>
      </c>
      <c r="K33" s="286">
        <v>6</v>
      </c>
      <c r="M33" s="280">
        <v>13</v>
      </c>
      <c r="N33" s="284" t="s">
        <v>95</v>
      </c>
      <c r="R33" s="199" t="str">
        <f ca="1">T27</f>
        <v>Bow</v>
      </c>
      <c r="T33" s="131" t="str">
        <f ca="1">VLOOKUP("Light Artillery",Zone_Traduction,ref_langue,FALSE)</f>
        <v>Light Artillery</v>
      </c>
      <c r="AF33" s="203">
        <v>7</v>
      </c>
      <c r="AG33" s="131">
        <v>2</v>
      </c>
      <c r="AH33" s="131">
        <v>3</v>
      </c>
      <c r="AI33" s="131">
        <v>4</v>
      </c>
      <c r="AJ33" s="131">
        <v>6</v>
      </c>
      <c r="AK33" s="131">
        <v>7</v>
      </c>
      <c r="AL33" s="131">
        <v>8</v>
      </c>
      <c r="AM33" s="131">
        <f t="shared" si="6"/>
        <v>10</v>
      </c>
      <c r="AN33" s="131">
        <f t="shared" si="6"/>
        <v>0</v>
      </c>
      <c r="BI33" s="127">
        <f>IF('Liste Armée'!P43="-",0,IF(OR('Liste Armée'!E43="LH",'Liste Armée'!E43="LF"),0.5,IF('Liste Armée'!E43="SCh",0,1)))</f>
        <v>0</v>
      </c>
      <c r="BJ33" s="127" t="str">
        <f>IF(OR('Liste Armée'!$E43="HF",'Liste Armée'!$E43="MF",'Liste Armée'!$E43="LF"),"infanterie",IF(OR('Liste Armée'!$E43="Kn",'Liste Armée'!$E43="Ct",'Liste Armée'!$E43="Cv",'Liste Armée'!$E43="LH",'Liste Armée'!$E43="LCh",'Liste Armée'!$E43="HCh",'Liste Armée'!$E43="SCh",'Liste Armée'!$E43="EL"),"montes",IF(OR('Liste Armée'!$E43="BWG"),"BWG","special")))</f>
        <v>special</v>
      </c>
      <c r="BK33" s="127">
        <f ca="1">VLOOKUP('Liste Armée'!$E43&amp;" "&amp;'Liste Armée'!$F43,Table_budget,MATCH('Liste Armée'!$G43,Colonnes_table_budget,FALSE),FALSE)
   +IF('Liste Armée'!$H43=VLOOKUP("Drilled",Zone_Traduction,ref_langue,FALSE),VLOOKUP('Liste Armée'!$E43&amp;" "&amp;'Liste Armée'!$F43,Table_budget,MATCH(VLOOKUP("Drilled",Zone_Traduction,ref_langue,FALSE),Colonnes_table_budget,FALSE),FALSE),0)
   +IF(ISERROR(VLOOKUP(BJ33&amp;" "&amp;$G33,Table_armes_tir,2,FALSE)),0,VLOOKUP(BJ33&amp;" "&amp;$G33,Table_armes_tir,2,FALSE))
   +IF(ISERROR(VLOOKUP(BJ33&amp;" "&amp;$I33,Table_armes_melee,2,FALSE)),0,VLOOKUP(BJ33&amp;" "&amp;$I33,Table_armes_melee,2,FALSE))
   +IF(ISERROR(VLOOKUP($J35,Table_special,2,FALSE)),0,VLOOKUP($J35,Table_special,2,FALSE))</f>
        <v>0</v>
      </c>
      <c r="BL33" s="127">
        <f ca="1">'Liste Armée'!$M43*'Liste Armée'!$L43</f>
        <v>0</v>
      </c>
      <c r="BM33" s="126"/>
      <c r="BN33" s="127">
        <f>IF(OR('Liste Armée'!$E43="CV",'Liste Armée'!$E43="LH",'Liste Armée'!$E43="LCH"),'Liste Armée'!$L43,0)</f>
        <v>0</v>
      </c>
    </row>
    <row r="34" spans="1:66" ht="12.75" customHeight="1">
      <c r="A34" s="200" t="s">
        <v>27</v>
      </c>
      <c r="B34" s="204" t="str">
        <f ca="1">CONCATENATE("Mob"," ",VLOOKUP("Protected",Zone_Traduction,ref_langue,FALSE))</f>
        <v>Mob Protected</v>
      </c>
      <c r="C34" s="133">
        <v>9</v>
      </c>
      <c r="D34" s="133">
        <v>7</v>
      </c>
      <c r="E34" s="133">
        <v>5</v>
      </c>
      <c r="F34" s="133">
        <v>3</v>
      </c>
      <c r="G34" s="133">
        <v>1</v>
      </c>
      <c r="H34" s="213">
        <v>0</v>
      </c>
      <c r="M34" s="280">
        <v>14</v>
      </c>
      <c r="N34" s="284" t="s">
        <v>96</v>
      </c>
      <c r="Q34" s="131" t="s">
        <v>1195</v>
      </c>
      <c r="R34" s="199" t="str">
        <f ca="1">T28</f>
        <v>Bw*</v>
      </c>
      <c r="T34" s="346" t="str">
        <f ca="1">VLOOKUP("Longbow",Zone_Traduction,ref_langue,FALSE)</f>
        <v>Longbow</v>
      </c>
      <c r="AF34" s="203">
        <v>8</v>
      </c>
      <c r="AG34" s="131">
        <f>ROUNDUP(AG10,0)</f>
        <v>1</v>
      </c>
      <c r="AH34" s="131">
        <f>ROUNDUP(AH10,0)</f>
        <v>2</v>
      </c>
      <c r="AI34" s="131">
        <v>4</v>
      </c>
      <c r="AJ34" s="131">
        <v>5</v>
      </c>
      <c r="AK34" s="131">
        <v>6</v>
      </c>
      <c r="AL34" s="131">
        <v>7</v>
      </c>
      <c r="AM34" s="131">
        <v>8</v>
      </c>
      <c r="AN34" s="131">
        <f t="shared" si="6"/>
        <v>10</v>
      </c>
      <c r="AO34" s="131">
        <f t="shared" ref="AO34:AP36" si="7">ROUNDUP(AO10,0)</f>
        <v>0</v>
      </c>
      <c r="AP34" s="131">
        <f t="shared" si="7"/>
        <v>0</v>
      </c>
      <c r="BI34" s="127">
        <f>IF('Liste Armée'!P44="-",0,IF(OR('Liste Armée'!E44="LH",'Liste Armée'!E44="LF"),0.5,IF('Liste Armée'!E44="SCh",0,1)))</f>
        <v>0</v>
      </c>
      <c r="BJ34" s="127" t="str">
        <f>IF(OR('Liste Armée'!$E44="HF",'Liste Armée'!$E44="MF",'Liste Armée'!$E44="LF"),"infanterie",IF(OR('Liste Armée'!$E44="Kn",'Liste Armée'!$E44="Ct",'Liste Armée'!$E44="Cv",'Liste Armée'!$E44="LH",'Liste Armée'!$E44="LCh",'Liste Armée'!$E44="HCh",'Liste Armée'!$E44="SCh",'Liste Armée'!$E44="EL"),"montes",IF(OR('Liste Armée'!$E44="BWG"),"BWG","special")))</f>
        <v>special</v>
      </c>
      <c r="BK34" s="127">
        <f ca="1">VLOOKUP('Liste Armée'!$E44&amp;" "&amp;'Liste Armée'!$F44,Table_budget,MATCH('Liste Armée'!$G44,Colonnes_table_budget,FALSE),FALSE)
   +IF('Liste Armée'!$H44=VLOOKUP("Drilled",Zone_Traduction,ref_langue,FALSE),VLOOKUP('Liste Armée'!$E44&amp;" "&amp;'Liste Armée'!$F44,Table_budget,MATCH(VLOOKUP("Drilled",Zone_Traduction,ref_langue,FALSE),Colonnes_table_budget,FALSE),FALSE),0)
   +IF(ISERROR(VLOOKUP(BJ34&amp;" "&amp;$G34,Table_armes_tir,2,FALSE)),0,VLOOKUP(BJ34&amp;" "&amp;$G34,Table_armes_tir,2,FALSE))
   +IF(ISERROR(VLOOKUP(BJ34&amp;" "&amp;$I34,Table_armes_melee,2,FALSE)),0,VLOOKUP(BJ34&amp;" "&amp;$I34,Table_armes_melee,2,FALSE))
   +IF(ISERROR(VLOOKUP($J36,Table_special,2,FALSE)),0,VLOOKUP($J36,Table_special,2,FALSE))</f>
        <v>0</v>
      </c>
      <c r="BL34" s="127">
        <f ca="1">'Liste Armée'!$M44*'Liste Armée'!$L44</f>
        <v>0</v>
      </c>
      <c r="BM34" s="126"/>
      <c r="BN34" s="127">
        <f>IF(OR('Liste Armée'!$E44="CV",'Liste Armée'!$E44="LH",'Liste Armée'!$E44="LCH"),'Liste Armée'!$L44,0)</f>
        <v>0</v>
      </c>
    </row>
    <row r="35" spans="1:66" ht="12.75" customHeight="1">
      <c r="A35" s="200"/>
      <c r="B35" s="287" t="s">
        <v>35</v>
      </c>
      <c r="C35" s="133"/>
      <c r="D35" s="133"/>
      <c r="E35" s="133"/>
      <c r="F35" s="133"/>
      <c r="G35" s="133"/>
      <c r="H35" s="213">
        <v>0</v>
      </c>
      <c r="M35" s="280">
        <v>15</v>
      </c>
      <c r="N35" s="284" t="s">
        <v>97</v>
      </c>
      <c r="Q35" s="131" t="str">
        <f ca="1">Q23</f>
        <v>Heavily Armoured</v>
      </c>
      <c r="R35" s="199" t="str">
        <f ca="1">T34</f>
        <v>Longbow</v>
      </c>
      <c r="T35" s="346" t="str">
        <f ca="1">VLOOKUP("Heavy Artillery",Zone_Traduction,ref_langue,FALSE)</f>
        <v>Heavy Artillery</v>
      </c>
      <c r="AF35" s="203">
        <v>9</v>
      </c>
      <c r="AG35" s="131">
        <f>ROUNDUP(AG11,0)</f>
        <v>1</v>
      </c>
      <c r="AH35" s="131">
        <f>ROUNDUP(AH11,0)</f>
        <v>2</v>
      </c>
      <c r="AI35" s="131">
        <v>3</v>
      </c>
      <c r="AJ35" s="131">
        <v>4</v>
      </c>
      <c r="AK35" s="131">
        <v>5</v>
      </c>
      <c r="AL35" s="131">
        <v>6</v>
      </c>
      <c r="AM35" s="131">
        <v>7</v>
      </c>
      <c r="AN35" s="131">
        <v>8</v>
      </c>
      <c r="AO35" s="131">
        <f t="shared" si="7"/>
        <v>10</v>
      </c>
      <c r="AP35" s="131">
        <f t="shared" si="7"/>
        <v>0</v>
      </c>
      <c r="AQ35" s="131">
        <f t="shared" ref="AQ35:AR38" si="8">ROUNDUP(AQ11,0)</f>
        <v>0</v>
      </c>
      <c r="AR35" s="131">
        <f t="shared" si="8"/>
        <v>0</v>
      </c>
      <c r="BI35" s="127">
        <f>IF('Liste Armée'!P45="-",0,IF(OR('Liste Armée'!E45="LH",'Liste Armée'!E45="LF"),0.5,IF('Liste Armée'!E45="SCh",0,1)))</f>
        <v>0</v>
      </c>
      <c r="BJ35" s="127" t="str">
        <f>IF(OR('Liste Armée'!$E45="HF",'Liste Armée'!$E45="MF",'Liste Armée'!$E45="LF"),"infanterie",IF(OR('Liste Armée'!$E45="Kn",'Liste Armée'!$E45="Ct",'Liste Armée'!$E45="Cv",'Liste Armée'!$E45="LH",'Liste Armée'!$E45="LCh",'Liste Armée'!$E45="HCh",'Liste Armée'!$E45="SCh",'Liste Armée'!$E45="EL"),"montes",IF(OR('Liste Armée'!$E45="BWG"),"BWG","special")))</f>
        <v>special</v>
      </c>
      <c r="BK35" s="127">
        <f ca="1">VLOOKUP('Liste Armée'!$E45&amp;" "&amp;'Liste Armée'!$F45,Table_budget,MATCH('Liste Armée'!$G45,Colonnes_table_budget,FALSE),FALSE)
   +IF('Liste Armée'!$H45=VLOOKUP("Drilled",Zone_Traduction,ref_langue,FALSE),VLOOKUP('Liste Armée'!$E45&amp;" "&amp;'Liste Armée'!$F45,Table_budget,MATCH(VLOOKUP("Drilled",Zone_Traduction,ref_langue,FALSE),Colonnes_table_budget,FALSE),FALSE),0)
   +IF(ISERROR(VLOOKUP(BJ35&amp;" "&amp;$G35,Table_armes_tir,2,FALSE)),0,VLOOKUP(BJ35&amp;" "&amp;$G35,Table_armes_tir,2,FALSE))
   +IF(ISERROR(VLOOKUP(BJ35&amp;" "&amp;$I35,Table_armes_melee,2,FALSE)),0,VLOOKUP(BJ35&amp;" "&amp;$I35,Table_armes_melee,2,FALSE))
   +IF(ISERROR(VLOOKUP($J37,Table_special,2,FALSE)),0,VLOOKUP($J37,Table_special,2,FALSE))</f>
        <v>0</v>
      </c>
      <c r="BL35" s="127">
        <f ca="1">'Liste Armée'!$M45*'Liste Armée'!$L45</f>
        <v>0</v>
      </c>
      <c r="BM35" s="126"/>
      <c r="BN35" s="127">
        <f>IF(OR('Liste Armée'!$E45="CV",'Liste Armée'!$E45="LH",'Liste Armée'!$E45="LCH"),'Liste Armée'!$L45,0)</f>
        <v>0</v>
      </c>
    </row>
    <row r="36" spans="1:66" ht="12.75" customHeight="1">
      <c r="B36" s="288"/>
      <c r="C36" s="133"/>
      <c r="D36" s="133"/>
      <c r="E36" s="133"/>
      <c r="F36" s="133"/>
      <c r="G36" s="133"/>
      <c r="H36" s="213"/>
      <c r="M36" s="280">
        <v>16</v>
      </c>
      <c r="N36" s="284" t="s">
        <v>98</v>
      </c>
      <c r="Q36" s="131" t="s">
        <v>30</v>
      </c>
      <c r="R36" s="199" t="str">
        <f ca="1">T29</f>
        <v>Crossbow</v>
      </c>
      <c r="AF36" s="203">
        <v>10</v>
      </c>
      <c r="AG36" s="131">
        <f>ROUNDUP(AG12,0)</f>
        <v>1</v>
      </c>
      <c r="AH36" s="131">
        <v>2</v>
      </c>
      <c r="AI36" s="131">
        <v>3</v>
      </c>
      <c r="AJ36" s="131">
        <v>4</v>
      </c>
      <c r="AK36" s="131">
        <v>5</v>
      </c>
      <c r="AL36" s="131">
        <v>6</v>
      </c>
      <c r="AM36" s="131">
        <v>7</v>
      </c>
      <c r="AN36" s="131">
        <v>8</v>
      </c>
      <c r="AO36" s="131">
        <v>9</v>
      </c>
      <c r="AP36" s="131">
        <f t="shared" si="7"/>
        <v>10</v>
      </c>
      <c r="AQ36" s="131">
        <f t="shared" si="8"/>
        <v>0</v>
      </c>
      <c r="AR36" s="131">
        <f t="shared" si="8"/>
        <v>0</v>
      </c>
      <c r="AS36" s="131">
        <f>ROUNDUP(AS12,0)</f>
        <v>0</v>
      </c>
      <c r="BI36" s="127">
        <f>IF('Liste Armée'!P46="-",0,IF(OR('Liste Armée'!E46="LH",'Liste Armée'!E46="LF"),0.5,IF('Liste Armée'!E46="SCh",0,1)))</f>
        <v>0</v>
      </c>
      <c r="BJ36" s="127" t="str">
        <f>IF(OR('Liste Armée'!$E46="HF",'Liste Armée'!$E46="MF",'Liste Armée'!$E46="LF"),"infanterie",IF(OR('Liste Armée'!$E46="Kn",'Liste Armée'!$E46="Ct",'Liste Armée'!$E46="Cv",'Liste Armée'!$E46="LH",'Liste Armée'!$E46="LCh",'Liste Armée'!$E46="HCh",'Liste Armée'!$E46="SCh",'Liste Armée'!$E46="EL"),"montes",IF(OR('Liste Armée'!$E46="BWG"),"BWG","special")))</f>
        <v>special</v>
      </c>
      <c r="BK36" s="127">
        <f ca="1">VLOOKUP('Liste Armée'!$E46&amp;" "&amp;'Liste Armée'!$F46,Table_budget,MATCH('Liste Armée'!$G46,Colonnes_table_budget,FALSE),FALSE)
   +IF('Liste Armée'!$H46=VLOOKUP("Drilled",Zone_Traduction,ref_langue,FALSE),VLOOKUP('Liste Armée'!$E46&amp;" "&amp;'Liste Armée'!$F46,Table_budget,MATCH(VLOOKUP("Drilled",Zone_Traduction,ref_langue,FALSE),Colonnes_table_budget,FALSE),FALSE),0)
   +IF(ISERROR(VLOOKUP(BJ36&amp;" "&amp;$G36,Table_armes_tir,2,FALSE)),0,VLOOKUP(BJ36&amp;" "&amp;$G36,Table_armes_tir,2,FALSE))
   +IF(ISERROR(VLOOKUP(BJ36&amp;" "&amp;$I36,Table_armes_melee,2,FALSE)),0,VLOOKUP(BJ36&amp;" "&amp;$I36,Table_armes_melee,2,FALSE))
   +IF(ISERROR(VLOOKUP($J38,Table_special,2,FALSE)),0,VLOOKUP($J38,Table_special,2,FALSE))</f>
        <v>0</v>
      </c>
      <c r="BL36" s="127">
        <f ca="1">'Liste Armée'!$M46*'Liste Armée'!$L46</f>
        <v>0</v>
      </c>
      <c r="BM36" s="126"/>
      <c r="BN36" s="127">
        <f>IF(OR('Liste Armée'!$E46="CV",'Liste Armée'!$E46="LH",'Liste Armée'!$E46="LCH"),'Liste Armée'!$L46,0)</f>
        <v>0</v>
      </c>
    </row>
    <row r="37" spans="1:66" ht="12.75" customHeight="1">
      <c r="B37" s="278"/>
      <c r="C37" s="273"/>
      <c r="D37" s="273"/>
      <c r="E37" s="273"/>
      <c r="F37" s="273"/>
      <c r="G37" s="273"/>
      <c r="H37" s="271"/>
      <c r="J37" s="289"/>
      <c r="K37" s="290"/>
      <c r="M37" s="280">
        <v>17</v>
      </c>
      <c r="N37" s="284" t="s">
        <v>99</v>
      </c>
      <c r="Q37" s="131" t="s">
        <v>1198</v>
      </c>
      <c r="R37" s="199" t="str">
        <f ca="1">T31</f>
        <v>Javelins</v>
      </c>
      <c r="AF37" s="203">
        <v>11</v>
      </c>
      <c r="AG37" s="131">
        <f>ROUNDUP(AG13,0)</f>
        <v>1</v>
      </c>
      <c r="AH37" s="131">
        <v>2</v>
      </c>
      <c r="AI37" s="131">
        <v>3</v>
      </c>
      <c r="AJ37" s="131">
        <v>3</v>
      </c>
      <c r="AK37" s="131">
        <v>4</v>
      </c>
      <c r="AL37" s="131">
        <v>5</v>
      </c>
      <c r="AM37" s="131">
        <v>6</v>
      </c>
      <c r="AN37" s="131">
        <v>7</v>
      </c>
      <c r="AO37" s="131">
        <v>8</v>
      </c>
      <c r="AP37" s="131">
        <v>9</v>
      </c>
      <c r="AQ37" s="131">
        <f t="shared" si="8"/>
        <v>10</v>
      </c>
      <c r="AR37" s="131">
        <f t="shared" si="8"/>
        <v>0</v>
      </c>
      <c r="AS37" s="131">
        <f>ROUNDUP(AS13,0)</f>
        <v>0</v>
      </c>
      <c r="AT37" s="131">
        <f>ROUNDUP(AT13,0)</f>
        <v>0</v>
      </c>
      <c r="BI37" s="127">
        <f>IF('Liste Armée'!P47="-",0,IF(OR('Liste Armée'!E47="LH",'Liste Armée'!E47="LF"),0.5,IF('Liste Armée'!E47="SCh",0,1)))</f>
        <v>0</v>
      </c>
      <c r="BJ37" s="127" t="str">
        <f>IF(OR('Liste Armée'!$E47="HF",'Liste Armée'!$E47="MF",'Liste Armée'!$E47="LF"),"infanterie",IF(OR('Liste Armée'!$E47="Kn",'Liste Armée'!$E47="Ct",'Liste Armée'!$E47="Cv",'Liste Armée'!$E47="LH",'Liste Armée'!$E47="LCh",'Liste Armée'!$E47="HCh",'Liste Armée'!$E47="SCh",'Liste Armée'!$E47="EL"),"montes",IF(OR('Liste Armée'!$E47="BWG"),"BWG","special")))</f>
        <v>special</v>
      </c>
      <c r="BK37" s="127">
        <f ca="1">VLOOKUP('Liste Armée'!$E47&amp;" "&amp;'Liste Armée'!$F47,Table_budget,MATCH('Liste Armée'!$G47,Colonnes_table_budget,FALSE),FALSE)
   +IF('Liste Armée'!$H47=VLOOKUP("Drilled",Zone_Traduction,ref_langue,FALSE),VLOOKUP('Liste Armée'!$E47&amp;" "&amp;'Liste Armée'!$F47,Table_budget,MATCH(VLOOKUP("Drilled",Zone_Traduction,ref_langue,FALSE),Colonnes_table_budget,FALSE),FALSE),0)
   +IF(ISERROR(VLOOKUP(BJ37&amp;" "&amp;$G37,Table_armes_tir,2,FALSE)),0,VLOOKUP(BJ37&amp;" "&amp;$G37,Table_armes_tir,2,FALSE))
   +IF(ISERROR(VLOOKUP(BJ37&amp;" "&amp;$I37,Table_armes_melee,2,FALSE)),0,VLOOKUP(BJ37&amp;" "&amp;$I37,Table_armes_melee,2,FALSE))
   +IF(ISERROR(VLOOKUP($J39,Table_special,2,FALSE)),0,VLOOKUP($J39,Table_special,2,FALSE))</f>
        <v>0</v>
      </c>
      <c r="BL37" s="127">
        <f ca="1">'Liste Armée'!$M47*'Liste Armée'!$L47</f>
        <v>0</v>
      </c>
      <c r="BM37" s="126"/>
      <c r="BN37" s="127">
        <f>IF(OR('Liste Armée'!$E47="CV",'Liste Armée'!$E47="LH",'Liste Armée'!$E47="LCH"),'Liste Armée'!$L47,0)</f>
        <v>0</v>
      </c>
    </row>
    <row r="38" spans="1:66" ht="12.75" customHeight="1">
      <c r="B38" s="291"/>
      <c r="C38" s="133"/>
      <c r="D38" s="133"/>
      <c r="E38" s="133"/>
      <c r="F38" s="133"/>
      <c r="G38" s="133"/>
      <c r="H38" s="133"/>
      <c r="J38" s="289"/>
      <c r="K38" s="290"/>
      <c r="M38" s="280">
        <v>18</v>
      </c>
      <c r="N38" s="284" t="s">
        <v>100</v>
      </c>
      <c r="Q38" s="131" t="str">
        <f ca="1">Q24</f>
        <v>Armoured</v>
      </c>
      <c r="R38" s="199" t="str">
        <f ca="1">T32</f>
        <v>Sling</v>
      </c>
      <c r="AF38" s="203">
        <v>12</v>
      </c>
      <c r="AG38" s="131">
        <v>1</v>
      </c>
      <c r="AH38" s="131">
        <v>2</v>
      </c>
      <c r="AI38" s="131">
        <v>2</v>
      </c>
      <c r="AJ38" s="131">
        <v>3</v>
      </c>
      <c r="AK38" s="131">
        <v>4</v>
      </c>
      <c r="AL38" s="131">
        <v>5</v>
      </c>
      <c r="AM38" s="131">
        <v>6</v>
      </c>
      <c r="AN38" s="131">
        <v>6</v>
      </c>
      <c r="AO38" s="131">
        <v>7</v>
      </c>
      <c r="AP38" s="131">
        <v>8</v>
      </c>
      <c r="AQ38" s="131">
        <v>9</v>
      </c>
      <c r="AR38" s="131">
        <f t="shared" si="8"/>
        <v>10</v>
      </c>
      <c r="BI38" s="127">
        <f>IF('Liste Armée'!P48="-",0,IF(OR('Liste Armée'!E48="LH",'Liste Armée'!E48="LF"),0.5,IF('Liste Armée'!E48="SCh",0,1)))</f>
        <v>0</v>
      </c>
      <c r="BJ38" s="127" t="str">
        <f>IF(OR('Liste Armée'!$E48="HF",'Liste Armée'!$E48="MF",'Liste Armée'!$E48="LF"),"infanterie",IF(OR('Liste Armée'!$E48="Kn",'Liste Armée'!$E48="Ct",'Liste Armée'!$E48="Cv",'Liste Armée'!$E48="LH",'Liste Armée'!$E48="LCh",'Liste Armée'!$E48="HCh",'Liste Armée'!$E48="SCh",'Liste Armée'!$E48="EL"),"montes",IF(OR('Liste Armée'!$E48="BWG"),"BWG","special")))</f>
        <v>special</v>
      </c>
      <c r="BK38" s="127">
        <f ca="1">VLOOKUP('Liste Armée'!$E48&amp;" "&amp;'Liste Armée'!$F48,Table_budget,MATCH('Liste Armée'!$G48,Colonnes_table_budget,FALSE),FALSE)
   +IF('Liste Armée'!$H48=VLOOKUP("Drilled",Zone_Traduction,ref_langue,FALSE),VLOOKUP('Liste Armée'!$E48&amp;" "&amp;'Liste Armée'!$F48,Table_budget,MATCH(VLOOKUP("Drilled",Zone_Traduction,ref_langue,FALSE),Colonnes_table_budget,FALSE),FALSE),0)
   +IF(ISERROR(VLOOKUP(BJ38&amp;" "&amp;$G38,Table_armes_tir,2,FALSE)),0,VLOOKUP(BJ38&amp;" "&amp;$G38,Table_armes_tir,2,FALSE))
   +IF(ISERROR(VLOOKUP(BJ38&amp;" "&amp;$I38,Table_armes_melee,2,FALSE)),0,VLOOKUP(BJ38&amp;" "&amp;$I38,Table_armes_melee,2,FALSE))
   +IF(ISERROR(VLOOKUP($J40,Table_special,2,FALSE)),0,VLOOKUP($J40,Table_special,2,FALSE))</f>
        <v>0</v>
      </c>
      <c r="BL38" s="127">
        <f ca="1">'Liste Armée'!$M48*'Liste Armée'!$L48</f>
        <v>0</v>
      </c>
      <c r="BM38" s="126"/>
      <c r="BN38" s="127">
        <f>IF(OR('Liste Armée'!$E48="CV",'Liste Armée'!$E48="LH",'Liste Armée'!$E48="LCH"),'Liste Armée'!$L48,0)</f>
        <v>0</v>
      </c>
    </row>
    <row r="39" spans="1:66" ht="12.75" customHeight="1">
      <c r="B39" s="291"/>
      <c r="C39" s="133"/>
      <c r="D39" s="133"/>
      <c r="E39" s="133"/>
      <c r="F39" s="133"/>
      <c r="G39" s="133"/>
      <c r="H39" s="133"/>
      <c r="J39" s="289"/>
      <c r="K39" s="290"/>
      <c r="M39" s="280">
        <v>19</v>
      </c>
      <c r="N39" s="284" t="s">
        <v>101</v>
      </c>
      <c r="Q39" s="131" t="str">
        <f ca="1">Q25</f>
        <v>Protected</v>
      </c>
      <c r="R39" s="199" t="str">
        <f ca="1">T30</f>
        <v>Firearm</v>
      </c>
      <c r="AF39" s="203">
        <v>13</v>
      </c>
      <c r="AG39" s="131">
        <v>1</v>
      </c>
      <c r="AH39" s="131">
        <v>1</v>
      </c>
      <c r="AI39" s="131">
        <v>2</v>
      </c>
      <c r="AJ39" s="131">
        <v>3</v>
      </c>
      <c r="AK39" s="131">
        <v>4</v>
      </c>
      <c r="AL39" s="131">
        <v>4</v>
      </c>
      <c r="AM39" s="131">
        <v>5</v>
      </c>
      <c r="AN39" s="131">
        <v>6</v>
      </c>
      <c r="AO39" s="131">
        <v>7</v>
      </c>
      <c r="AP39" s="131">
        <v>7</v>
      </c>
      <c r="AQ39" s="131">
        <v>8</v>
      </c>
      <c r="AR39" s="131">
        <v>9</v>
      </c>
      <c r="AS39" s="131">
        <f t="shared" ref="AS39:AU40" si="9">ROUNDUP(AS15,0)</f>
        <v>10</v>
      </c>
      <c r="AT39" s="131">
        <f t="shared" si="9"/>
        <v>0</v>
      </c>
      <c r="AU39" s="131">
        <f t="shared" si="9"/>
        <v>0</v>
      </c>
      <c r="BI39" s="127">
        <f>IF('Liste Armée'!P49="-",0,IF(OR('Liste Armée'!E49="LH",'Liste Armée'!E49="LF"),0.5,IF('Liste Armée'!E49="SCh",0,1)))</f>
        <v>0</v>
      </c>
      <c r="BJ39" s="127" t="str">
        <f>IF(OR('Liste Armée'!$E49="HF",'Liste Armée'!$E49="MF",'Liste Armée'!$E49="LF"),"infanterie",IF(OR('Liste Armée'!$E49="Kn",'Liste Armée'!$E49="Ct",'Liste Armée'!$E49="Cv",'Liste Armée'!$E49="LH",'Liste Armée'!$E49="LCh",'Liste Armée'!$E49="HCh",'Liste Armée'!$E49="SCh",'Liste Armée'!$E49="EL"),"montes",IF(OR('Liste Armée'!$E49="BWG"),"BWG","special")))</f>
        <v>special</v>
      </c>
      <c r="BK39" s="127">
        <f ca="1">VLOOKUP('Liste Armée'!$E49&amp;" "&amp;'Liste Armée'!$F49,Table_budget,MATCH('Liste Armée'!$G49,Colonnes_table_budget,FALSE),FALSE)
   +IF('Liste Armée'!$H49=VLOOKUP("Drilled",Zone_Traduction,ref_langue,FALSE),VLOOKUP('Liste Armée'!$E49&amp;" "&amp;'Liste Armée'!$F49,Table_budget,MATCH(VLOOKUP("Drilled",Zone_Traduction,ref_langue,FALSE),Colonnes_table_budget,FALSE),FALSE),0)
   +IF(ISERROR(VLOOKUP(BJ39&amp;" "&amp;$G39,Table_armes_tir,2,FALSE)),0,VLOOKUP(BJ39&amp;" "&amp;$G39,Table_armes_tir,2,FALSE))
   +IF(ISERROR(VLOOKUP(BJ39&amp;" "&amp;$I39,Table_armes_melee,2,FALSE)),0,VLOOKUP(BJ39&amp;" "&amp;$I39,Table_armes_melee,2,FALSE))
   +IF(ISERROR(VLOOKUP($J41,Table_special,2,FALSE)),0,VLOOKUP($J41,Table_special,2,FALSE))</f>
        <v>0</v>
      </c>
      <c r="BL39" s="127">
        <f ca="1">'Liste Armée'!$M49*'Liste Armée'!$L49</f>
        <v>0</v>
      </c>
      <c r="BM39" s="126"/>
      <c r="BN39" s="127">
        <f>IF(OR('Liste Armée'!$E49="CV",'Liste Armée'!$E49="LH",'Liste Armée'!$E49="LCH"),'Liste Armée'!$L49,0)</f>
        <v>0</v>
      </c>
    </row>
    <row r="40" spans="1:66" ht="12.75" customHeight="1">
      <c r="B40" s="291"/>
      <c r="C40" s="133"/>
      <c r="D40" s="133"/>
      <c r="E40" s="133"/>
      <c r="F40" s="133"/>
      <c r="G40" s="133"/>
      <c r="H40" s="133"/>
      <c r="J40" s="289"/>
      <c r="K40" s="290"/>
      <c r="M40" s="280">
        <v>20</v>
      </c>
      <c r="N40" s="284" t="s">
        <v>102</v>
      </c>
      <c r="Q40" s="131" t="str">
        <f ca="1">Q26</f>
        <v>Unprotected</v>
      </c>
      <c r="R40" s="199" t="s">
        <v>30</v>
      </c>
      <c r="AF40" s="203">
        <v>14</v>
      </c>
      <c r="AG40" s="131">
        <v>1</v>
      </c>
      <c r="AH40" s="131">
        <v>1</v>
      </c>
      <c r="AI40" s="131">
        <v>2</v>
      </c>
      <c r="AJ40" s="131">
        <v>3</v>
      </c>
      <c r="AK40" s="131">
        <v>3</v>
      </c>
      <c r="AL40" s="131">
        <v>4</v>
      </c>
      <c r="AM40" s="131">
        <v>5</v>
      </c>
      <c r="AN40" s="131">
        <v>5</v>
      </c>
      <c r="AO40" s="131">
        <v>6</v>
      </c>
      <c r="AP40" s="131">
        <v>7</v>
      </c>
      <c r="AQ40" s="131">
        <v>7</v>
      </c>
      <c r="AR40" s="131">
        <v>8</v>
      </c>
      <c r="AS40" s="131">
        <v>9</v>
      </c>
      <c r="AT40" s="131">
        <f t="shared" si="9"/>
        <v>10</v>
      </c>
      <c r="AU40" s="131">
        <f t="shared" si="9"/>
        <v>0</v>
      </c>
      <c r="BI40" s="127">
        <f>IF('Liste Armée'!P50="-",0,IF(OR('Liste Armée'!E50="LH",'Liste Armée'!E50="LF"),0.5,IF('Liste Armée'!E50="SCh",0,1)))</f>
        <v>0</v>
      </c>
      <c r="BJ40" s="127" t="str">
        <f>IF(OR('Liste Armée'!$E50="HF",'Liste Armée'!$E50="MF",'Liste Armée'!$E50="LF"),"infanterie",IF(OR('Liste Armée'!$E50="Kn",'Liste Armée'!$E50="Ct",'Liste Armée'!$E50="Cv",'Liste Armée'!$E50="LH",'Liste Armée'!$E50="LCh",'Liste Armée'!$E50="HCh",'Liste Armée'!$E50="SCh",'Liste Armée'!$E50="EL"),"montes",IF(OR('Liste Armée'!$E50="BWG"),"BWG","special")))</f>
        <v>special</v>
      </c>
      <c r="BK40" s="127">
        <f ca="1">VLOOKUP('Liste Armée'!$E50&amp;" "&amp;'Liste Armée'!$F50,Table_budget,MATCH('Liste Armée'!$G50,Colonnes_table_budget,FALSE),FALSE)
   +IF('Liste Armée'!$H50=VLOOKUP("Drilled",Zone_Traduction,ref_langue,FALSE),VLOOKUP('Liste Armée'!$E50&amp;" "&amp;'Liste Armée'!$F50,Table_budget,MATCH(VLOOKUP("Drilled",Zone_Traduction,ref_langue,FALSE),Colonnes_table_budget,FALSE),FALSE),0)
   +IF(ISERROR(VLOOKUP(BJ40&amp;" "&amp;$G40,Table_armes_tir,2,FALSE)),0,VLOOKUP(BJ40&amp;" "&amp;$G40,Table_armes_tir,2,FALSE))
   +IF(ISERROR(VLOOKUP(BJ40&amp;" "&amp;$I40,Table_armes_melee,2,FALSE)),0,VLOOKUP(BJ40&amp;" "&amp;$I40,Table_armes_melee,2,FALSE))
   +IF(ISERROR(VLOOKUP($J42,Table_special,2,FALSE)),0,VLOOKUP($J42,Table_special,2,FALSE))</f>
        <v>0</v>
      </c>
      <c r="BL40" s="127">
        <f ca="1">'Liste Armée'!$M50*'Liste Armée'!$L50</f>
        <v>0</v>
      </c>
      <c r="BM40" s="126"/>
      <c r="BN40" s="127">
        <f>IF(OR('Liste Armée'!$E50="CV",'Liste Armée'!$E50="LH",'Liste Armée'!$E50="LCH"),'Liste Armée'!$L50,0)</f>
        <v>0</v>
      </c>
    </row>
    <row r="41" spans="1:66" ht="12.75" customHeight="1">
      <c r="B41" s="291"/>
      <c r="C41" s="133"/>
      <c r="D41" s="133"/>
      <c r="E41" s="133"/>
      <c r="F41" s="133"/>
      <c r="G41" s="133"/>
      <c r="H41" s="133"/>
      <c r="J41" s="289"/>
      <c r="K41" s="290"/>
      <c r="M41" s="280">
        <v>21</v>
      </c>
      <c r="N41" s="284" t="s">
        <v>103</v>
      </c>
      <c r="Q41" s="131" t="s">
        <v>30</v>
      </c>
      <c r="AF41" s="203">
        <v>15</v>
      </c>
      <c r="AG41" s="131">
        <v>1</v>
      </c>
      <c r="AH41" s="131">
        <v>1</v>
      </c>
      <c r="AI41" s="131">
        <v>2</v>
      </c>
      <c r="AJ41" s="131">
        <v>2</v>
      </c>
      <c r="AK41" s="131">
        <v>3</v>
      </c>
      <c r="AL41" s="131">
        <v>4</v>
      </c>
      <c r="AM41" s="131">
        <v>4</v>
      </c>
      <c r="AN41" s="131">
        <v>5</v>
      </c>
      <c r="AO41" s="131">
        <v>6</v>
      </c>
      <c r="AP41" s="131">
        <v>6</v>
      </c>
      <c r="AQ41" s="131">
        <v>7</v>
      </c>
      <c r="AR41" s="131">
        <v>8</v>
      </c>
      <c r="AS41" s="131">
        <v>8</v>
      </c>
      <c r="AT41" s="131">
        <v>9</v>
      </c>
      <c r="AU41" s="131">
        <f>ROUNDUP(AU17,0)</f>
        <v>10</v>
      </c>
      <c r="AV41" s="131">
        <f>ROUNDUP(AV17,0)</f>
        <v>0</v>
      </c>
      <c r="BI41" s="127">
        <f>IF('Liste Armée'!P51="-",0,IF(OR('Liste Armée'!E51="LH",'Liste Armée'!E51="LF"),0.5,IF('Liste Armée'!E51="SCh",0,1)))</f>
        <v>0</v>
      </c>
      <c r="BJ41" s="127" t="str">
        <f>IF(OR('Liste Armée'!$E51="HF",'Liste Armée'!$E51="MF",'Liste Armée'!$E51="LF"),"infanterie",IF(OR('Liste Armée'!$E51="Kn",'Liste Armée'!$E51="Ct",'Liste Armée'!$E51="Cv",'Liste Armée'!$E51="LH",'Liste Armée'!$E51="LCh",'Liste Armée'!$E51="HCh",'Liste Armée'!$E51="SCh",'Liste Armée'!$E51="EL"),"montes",IF(OR('Liste Armée'!$E51="BWG"),"BWG","special")))</f>
        <v>special</v>
      </c>
      <c r="BK41" s="127">
        <f ca="1">VLOOKUP('Liste Armée'!$E51&amp;" "&amp;'Liste Armée'!$F51,Table_budget,MATCH('Liste Armée'!$G51,Colonnes_table_budget,FALSE),FALSE)
   +IF('Liste Armée'!$H51=VLOOKUP("Drilled",Zone_Traduction,ref_langue,FALSE),VLOOKUP('Liste Armée'!$E51&amp;" "&amp;'Liste Armée'!$F51,Table_budget,MATCH(VLOOKUP("Drilled",Zone_Traduction,ref_langue,FALSE),Colonnes_table_budget,FALSE),FALSE),0)
   +IF(ISERROR(VLOOKUP(BJ41&amp;" "&amp;$G41,Table_armes_tir,2,FALSE)),0,VLOOKUP(BJ41&amp;" "&amp;$G41,Table_armes_tir,2,FALSE))
   +IF(ISERROR(VLOOKUP(BJ41&amp;" "&amp;$I41,Table_armes_melee,2,FALSE)),0,VLOOKUP(BJ41&amp;" "&amp;$I41,Table_armes_melee,2,FALSE))
   +IF(ISERROR(VLOOKUP($J43,Table_special,2,FALSE)),0,VLOOKUP($J43,Table_special,2,FALSE))</f>
        <v>0</v>
      </c>
      <c r="BL41" s="127">
        <f ca="1">'Liste Armée'!$M51*'Liste Armée'!$L51</f>
        <v>0</v>
      </c>
      <c r="BM41" s="126"/>
      <c r="BN41" s="127">
        <f>IF(OR('Liste Armée'!$E51="CV",'Liste Armée'!$E51="LH",'Liste Armée'!$E51="LCH"),'Liste Armée'!$L51,0)</f>
        <v>0</v>
      </c>
    </row>
    <row r="42" spans="1:66" ht="12.75" customHeight="1">
      <c r="B42" s="291"/>
      <c r="C42" s="133"/>
      <c r="D42" s="133"/>
      <c r="E42" s="133"/>
      <c r="F42" s="133"/>
      <c r="G42" s="133"/>
      <c r="H42" s="133"/>
      <c r="J42" s="289"/>
      <c r="K42" s="290"/>
      <c r="M42" s="280">
        <v>22</v>
      </c>
      <c r="N42" s="284" t="s">
        <v>104</v>
      </c>
      <c r="R42" s="292" t="s">
        <v>1210</v>
      </c>
      <c r="AF42" s="203">
        <v>16</v>
      </c>
      <c r="AG42" s="131">
        <v>1</v>
      </c>
      <c r="AH42" s="131">
        <v>1</v>
      </c>
      <c r="AI42" s="131">
        <v>2</v>
      </c>
      <c r="AJ42" s="131">
        <v>2</v>
      </c>
      <c r="AK42" s="131">
        <v>3</v>
      </c>
      <c r="AL42" s="131">
        <v>3</v>
      </c>
      <c r="AM42" s="131">
        <v>4</v>
      </c>
      <c r="AN42" s="131">
        <v>5</v>
      </c>
      <c r="AO42" s="131">
        <v>5</v>
      </c>
      <c r="AP42" s="131">
        <v>6</v>
      </c>
      <c r="AQ42" s="131">
        <v>6</v>
      </c>
      <c r="AR42" s="131">
        <v>7</v>
      </c>
      <c r="AS42" s="131">
        <v>8</v>
      </c>
      <c r="AT42" s="131">
        <v>8</v>
      </c>
      <c r="AU42" s="131">
        <v>9</v>
      </c>
      <c r="AV42" s="131">
        <f>ROUNDUP(AV18,0)</f>
        <v>10</v>
      </c>
      <c r="AW42" s="131">
        <f>ROUNDUP(AW18,0)</f>
        <v>0</v>
      </c>
      <c r="BI42" s="127">
        <f>IF('Liste Armée'!P52="-",0,IF(OR('Liste Armée'!E52="LH",'Liste Armée'!E52="LF"),0.5,IF('Liste Armée'!E52="SCh",0,1)))</f>
        <v>0</v>
      </c>
      <c r="BJ42" s="127" t="str">
        <f>IF(OR('Liste Armée'!$E52="HF",'Liste Armée'!$E52="MF",'Liste Armée'!$E52="LF"),"infanterie",IF(OR('Liste Armée'!$E52="Kn",'Liste Armée'!$E52="Ct",'Liste Armée'!$E52="Cv",'Liste Armée'!$E52="LH",'Liste Armée'!$E52="LCh",'Liste Armée'!$E52="HCh",'Liste Armée'!$E52="SCh",'Liste Armée'!$E52="EL"),"montes",IF(OR('Liste Armée'!$E52="BWG"),"BWG","special")))</f>
        <v>special</v>
      </c>
      <c r="BK42" s="127">
        <f ca="1">VLOOKUP('Liste Armée'!$E52&amp;" "&amp;'Liste Armée'!$F52,Table_budget,MATCH('Liste Armée'!$G52,Colonnes_table_budget,FALSE),FALSE)
   +IF('Liste Armée'!$H52=VLOOKUP("Drilled",Zone_Traduction,ref_langue,FALSE),VLOOKUP('Liste Armée'!$E52&amp;" "&amp;'Liste Armée'!$F52,Table_budget,MATCH(VLOOKUP("Drilled",Zone_Traduction,ref_langue,FALSE),Colonnes_table_budget,FALSE),FALSE),0)
   +IF(ISERROR(VLOOKUP(BJ42&amp;" "&amp;$G42,Table_armes_tir,2,FALSE)),0,VLOOKUP(BJ42&amp;" "&amp;$G42,Table_armes_tir,2,FALSE))
   +IF(ISERROR(VLOOKUP(BJ42&amp;" "&amp;$I42,Table_armes_melee,2,FALSE)),0,VLOOKUP(BJ42&amp;" "&amp;$I42,Table_armes_melee,2,FALSE))
   +IF(ISERROR(VLOOKUP($J44,Table_special,2,FALSE)),0,VLOOKUP($J44,Table_special,2,FALSE))</f>
        <v>0</v>
      </c>
      <c r="BL42" s="127">
        <f ca="1">'Liste Armée'!$M52*'Liste Armée'!$L52</f>
        <v>0</v>
      </c>
      <c r="BM42" s="126"/>
      <c r="BN42" s="127">
        <f>IF(OR('Liste Armée'!$E52="CV",'Liste Armée'!$E52="LH",'Liste Armée'!$E52="LCH"),'Liste Armée'!$L52,0)</f>
        <v>0</v>
      </c>
    </row>
    <row r="43" spans="1:66" ht="12.75" customHeight="1">
      <c r="M43" s="293">
        <v>23</v>
      </c>
      <c r="N43" s="294" t="s">
        <v>105</v>
      </c>
      <c r="Q43" s="131" t="s">
        <v>1199</v>
      </c>
      <c r="R43" s="292" t="str">
        <f ca="1">T27</f>
        <v>Bow</v>
      </c>
      <c r="AF43" s="203">
        <v>17</v>
      </c>
      <c r="AG43" s="131">
        <v>1</v>
      </c>
      <c r="AH43" s="131">
        <v>1</v>
      </c>
      <c r="AI43" s="131">
        <v>2</v>
      </c>
      <c r="AJ43" s="131">
        <v>2</v>
      </c>
      <c r="AK43" s="131">
        <v>3</v>
      </c>
      <c r="AL43" s="131">
        <v>3</v>
      </c>
      <c r="AM43" s="131">
        <v>4</v>
      </c>
      <c r="AN43" s="131">
        <v>4</v>
      </c>
      <c r="AO43" s="131">
        <v>5</v>
      </c>
      <c r="AP43" s="131">
        <v>6</v>
      </c>
      <c r="AQ43" s="131">
        <v>6</v>
      </c>
      <c r="AR43" s="131">
        <v>7</v>
      </c>
      <c r="AS43" s="131">
        <v>7</v>
      </c>
      <c r="AT43" s="131">
        <v>8</v>
      </c>
      <c r="AU43" s="131">
        <v>8</v>
      </c>
      <c r="AV43" s="131">
        <v>9</v>
      </c>
      <c r="AW43" s="131">
        <f>ROUNDUP(AW19,0)</f>
        <v>10</v>
      </c>
      <c r="AX43" s="131">
        <f>ROUNDUP(AX19,0)</f>
        <v>0</v>
      </c>
      <c r="BI43" s="127">
        <f>IF('Liste Armée'!P53="-",0,IF(OR('Liste Armée'!E53="LH",'Liste Armée'!E53="LF"),0.5,IF('Liste Armée'!E53="SCh",0,1)))</f>
        <v>0</v>
      </c>
      <c r="BJ43" s="127" t="str">
        <f>IF(OR('Liste Armée'!$E53="HF",'Liste Armée'!$E53="MF",'Liste Armée'!$E53="LF"),"infanterie",IF(OR('Liste Armée'!$E53="Kn",'Liste Armée'!$E53="Ct",'Liste Armée'!$E53="Cv",'Liste Armée'!$E53="LH",'Liste Armée'!$E53="LCh",'Liste Armée'!$E53="HCh",'Liste Armée'!$E53="SCh",'Liste Armée'!$E53="EL"),"montes",IF(OR('Liste Armée'!$E53="BWG"),"BWG","special")))</f>
        <v>special</v>
      </c>
      <c r="BK43" s="127">
        <f ca="1">VLOOKUP('Liste Armée'!$E53&amp;" "&amp;'Liste Armée'!$F53,Table_budget,MATCH('Liste Armée'!$G53,Colonnes_table_budget,FALSE),FALSE)
   +IF('Liste Armée'!$H53=VLOOKUP("Drilled",Zone_Traduction,ref_langue,FALSE),VLOOKUP('Liste Armée'!$E53&amp;" "&amp;'Liste Armée'!$F53,Table_budget,MATCH(VLOOKUP("Drilled",Zone_Traduction,ref_langue,FALSE),Colonnes_table_budget,FALSE),FALSE),0)
   +IF(ISERROR(VLOOKUP(BJ43&amp;" "&amp;$G43,Table_armes_tir,2,FALSE)),0,VLOOKUP(BJ43&amp;" "&amp;$G43,Table_armes_tir,2,FALSE))
   +IF(ISERROR(VLOOKUP(BJ43&amp;" "&amp;$I43,Table_armes_melee,2,FALSE)),0,VLOOKUP(BJ43&amp;" "&amp;$I43,Table_armes_melee,2,FALSE))
   +IF(ISERROR(VLOOKUP($J45,Table_special,2,FALSE)),0,VLOOKUP($J45,Table_special,2,FALSE))</f>
        <v>0</v>
      </c>
      <c r="BL43" s="127">
        <f ca="1">'Liste Armée'!$M53*'Liste Armée'!$L53</f>
        <v>0</v>
      </c>
      <c r="BM43" s="126"/>
      <c r="BN43" s="127">
        <f>IF(OR('Liste Armée'!$E53="CV",'Liste Armée'!$E53="LH",'Liste Armée'!$E53="LCH"),'Liste Armée'!$L53,0)</f>
        <v>0</v>
      </c>
    </row>
    <row r="44" spans="1:66" ht="12.75" customHeight="1">
      <c r="M44" s="280">
        <v>24</v>
      </c>
      <c r="N44" s="294" t="s">
        <v>396</v>
      </c>
      <c r="R44" s="292" t="str">
        <f ca="1">T29</f>
        <v>Crossbow</v>
      </c>
      <c r="AF44" s="203">
        <v>18</v>
      </c>
      <c r="AG44" s="131">
        <v>1</v>
      </c>
      <c r="AH44" s="131">
        <v>1</v>
      </c>
      <c r="AI44" s="131">
        <v>1</v>
      </c>
      <c r="AJ44" s="131">
        <v>2</v>
      </c>
      <c r="AK44" s="131">
        <v>2</v>
      </c>
      <c r="AL44" s="131">
        <v>3</v>
      </c>
      <c r="AM44" s="131">
        <v>4</v>
      </c>
      <c r="AN44" s="131">
        <v>4</v>
      </c>
      <c r="AO44" s="131">
        <v>5</v>
      </c>
      <c r="AP44" s="131">
        <v>5</v>
      </c>
      <c r="AQ44" s="131">
        <v>6</v>
      </c>
      <c r="AR44" s="131">
        <v>6</v>
      </c>
      <c r="AS44" s="131">
        <v>7</v>
      </c>
      <c r="AT44" s="131">
        <v>7</v>
      </c>
      <c r="AU44" s="131">
        <v>8</v>
      </c>
      <c r="AV44" s="131">
        <v>8</v>
      </c>
      <c r="AW44" s="131">
        <v>9</v>
      </c>
      <c r="AX44" s="131">
        <f>ROUNDUP(AX20,0)</f>
        <v>10</v>
      </c>
      <c r="AY44" s="131">
        <f>ROUNDUP(AY20,0)</f>
        <v>0</v>
      </c>
      <c r="BI44" s="127">
        <f>IF('Liste Armée'!P54="-",0,IF(OR('Liste Armée'!E54="LH",'Liste Armée'!E54="LF"),0.5,IF('Liste Armée'!E54="SCh",0,1)))</f>
        <v>0</v>
      </c>
      <c r="BJ44" s="127" t="str">
        <f>IF(OR('Liste Armée'!$E54="HF",'Liste Armée'!$E54="MF",'Liste Armée'!$E54="LF"),"infanterie",IF(OR('Liste Armée'!$E54="Kn",'Liste Armée'!$E54="Ct",'Liste Armée'!$E54="Cv",'Liste Armée'!$E54="LH",'Liste Armée'!$E54="LCh",'Liste Armée'!$E54="HCh",'Liste Armée'!$E54="SCh",'Liste Armée'!$E54="EL"),"montes",IF(OR('Liste Armée'!$E54="BWG"),"BWG","special")))</f>
        <v>special</v>
      </c>
      <c r="BK44" s="127">
        <f ca="1">VLOOKUP('Liste Armée'!$E54&amp;" "&amp;'Liste Armée'!$F54,Table_budget,MATCH('Liste Armée'!$G54,Colonnes_table_budget,FALSE),FALSE)
   +IF('Liste Armée'!$H54=VLOOKUP("Drilled",Zone_Traduction,ref_langue,FALSE),VLOOKUP('Liste Armée'!$E54&amp;" "&amp;'Liste Armée'!$F54,Table_budget,MATCH(VLOOKUP("Drilled",Zone_Traduction,ref_langue,FALSE),Colonnes_table_budget,FALSE),FALSE),0)
   +IF(ISERROR(VLOOKUP(BJ44&amp;" "&amp;$G44,Table_armes_tir,2,FALSE)),0,VLOOKUP(BJ44&amp;" "&amp;$G44,Table_armes_tir,2,FALSE))
   +IF(ISERROR(VLOOKUP(BJ44&amp;" "&amp;$I44,Table_armes_melee,2,FALSE)),0,VLOOKUP(BJ44&amp;" "&amp;$I44,Table_armes_melee,2,FALSE))
   +IF(ISERROR(VLOOKUP($J46,Table_special,2,FALSE)),0,VLOOKUP($J46,Table_special,2,FALSE))</f>
        <v>0</v>
      </c>
      <c r="BL44" s="127">
        <f ca="1">'Liste Armée'!$M54*'Liste Armée'!$L54</f>
        <v>0</v>
      </c>
      <c r="BM44" s="126"/>
      <c r="BN44" s="127">
        <f>IF(OR('Liste Armée'!$E54="CV",'Liste Armée'!$E54="LH",'Liste Armée'!$E54="LCH"),'Liste Armée'!$L54,0)</f>
        <v>0</v>
      </c>
    </row>
    <row r="45" spans="1:66" ht="12.75" customHeight="1">
      <c r="M45" s="293">
        <v>25</v>
      </c>
      <c r="N45" s="295" t="s">
        <v>397</v>
      </c>
      <c r="Q45" s="131" t="s">
        <v>1200</v>
      </c>
      <c r="R45" s="292" t="str">
        <f ca="1">T33</f>
        <v>Light Artillery</v>
      </c>
      <c r="T45" s="347" t="s">
        <v>1240</v>
      </c>
      <c r="AF45" s="203">
        <v>19</v>
      </c>
      <c r="AG45" s="131">
        <v>1</v>
      </c>
      <c r="AH45" s="131">
        <v>1</v>
      </c>
      <c r="AI45" s="131">
        <v>1</v>
      </c>
      <c r="AJ45" s="131">
        <v>2</v>
      </c>
      <c r="AK45" s="131">
        <v>2</v>
      </c>
      <c r="AL45" s="131">
        <v>3</v>
      </c>
      <c r="AM45" s="131">
        <v>3</v>
      </c>
      <c r="AN45" s="131">
        <v>4</v>
      </c>
      <c r="AO45" s="131">
        <v>4</v>
      </c>
      <c r="AP45" s="131">
        <v>5</v>
      </c>
      <c r="AQ45" s="131">
        <v>5</v>
      </c>
      <c r="AR45" s="131">
        <v>6</v>
      </c>
      <c r="AS45" s="131">
        <v>6</v>
      </c>
      <c r="AT45" s="131">
        <v>7</v>
      </c>
      <c r="AU45" s="131">
        <v>7</v>
      </c>
      <c r="AV45" s="131">
        <v>8</v>
      </c>
      <c r="AW45" s="131">
        <v>8</v>
      </c>
      <c r="AX45" s="131">
        <v>9</v>
      </c>
      <c r="AY45" s="131">
        <f>ROUNDUP(AY21,0)</f>
        <v>10</v>
      </c>
      <c r="AZ45" s="131">
        <f>ROUNDUP(AZ21,0)</f>
        <v>0</v>
      </c>
      <c r="BI45" s="127">
        <f>IF('Liste Armée'!P55="-",0,IF(OR('Liste Armée'!E55="LH",'Liste Armée'!E55="LF"),0.5,IF('Liste Armée'!E55="SCh",0,1)))</f>
        <v>0</v>
      </c>
      <c r="BJ45" s="127" t="str">
        <f>IF(OR('Liste Armée'!$E55="HF",'Liste Armée'!$E55="MF",'Liste Armée'!$E55="LF"),"infanterie",IF(OR('Liste Armée'!$E55="Kn",'Liste Armée'!$E55="Ct",'Liste Armée'!$E55="Cv",'Liste Armée'!$E55="LH",'Liste Armée'!$E55="LCh",'Liste Armée'!$E55="HCh",'Liste Armée'!$E55="SCh",'Liste Armée'!$E55="EL"),"montes",IF(OR('Liste Armée'!$E55="BWG"),"BWG","special")))</f>
        <v>special</v>
      </c>
      <c r="BK45" s="127">
        <f ca="1">VLOOKUP('Liste Armée'!$E55&amp;" "&amp;'Liste Armée'!$F55,Table_budget,MATCH('Liste Armée'!$G55,Colonnes_table_budget,FALSE),FALSE)
   +IF('Liste Armée'!$H55=VLOOKUP("Drilled",Zone_Traduction,ref_langue,FALSE),VLOOKUP('Liste Armée'!$E55&amp;" "&amp;'Liste Armée'!$F55,Table_budget,MATCH(VLOOKUP("Drilled",Zone_Traduction,ref_langue,FALSE),Colonnes_table_budget,FALSE),FALSE),0)
   +IF(ISERROR(VLOOKUP(BJ45&amp;" "&amp;$G45,Table_armes_tir,2,FALSE)),0,VLOOKUP(BJ45&amp;" "&amp;$G45,Table_armes_tir,2,FALSE))
   +IF(ISERROR(VLOOKUP(BJ45&amp;" "&amp;$I45,Table_armes_melee,2,FALSE)),0,VLOOKUP(BJ45&amp;" "&amp;$I45,Table_armes_melee,2,FALSE))
   +IF(ISERROR(VLOOKUP($J47,Table_special,2,FALSE)),0,VLOOKUP($J47,Table_special,2,FALSE))</f>
        <v>0</v>
      </c>
      <c r="BL45" s="127">
        <f ca="1">'Liste Armée'!$M55*'Liste Armée'!$L55</f>
        <v>0</v>
      </c>
      <c r="BM45" s="126"/>
      <c r="BN45" s="127">
        <f>IF(OR('Liste Armée'!$E55="CV",'Liste Armée'!$E55="LH",'Liste Armée'!$E55="LCH"),'Liste Armée'!$L55,0)</f>
        <v>0</v>
      </c>
    </row>
    <row r="46" spans="1:66" ht="12.75" customHeight="1">
      <c r="M46" s="280">
        <v>26</v>
      </c>
      <c r="N46" s="295" t="s">
        <v>398</v>
      </c>
      <c r="Q46" s="131" t="str">
        <f ca="1">Q61</f>
        <v>Superior</v>
      </c>
      <c r="R46" s="292" t="s">
        <v>30</v>
      </c>
      <c r="T46" s="199" t="str">
        <f ca="1">VLOOKUP("Lancer Swordsmen",Zone_Traduction,ref_langue,FALSE)</f>
        <v>Lancer Swordsmen</v>
      </c>
      <c r="AF46" s="203">
        <v>20</v>
      </c>
      <c r="AG46" s="131">
        <v>1</v>
      </c>
      <c r="AH46" s="131">
        <v>1</v>
      </c>
      <c r="AI46" s="131">
        <v>1</v>
      </c>
      <c r="AJ46" s="131">
        <v>2</v>
      </c>
      <c r="AK46" s="131">
        <v>2</v>
      </c>
      <c r="AL46" s="131">
        <v>3</v>
      </c>
      <c r="AM46" s="131">
        <v>3</v>
      </c>
      <c r="AN46" s="131">
        <v>4</v>
      </c>
      <c r="AO46" s="131">
        <v>4</v>
      </c>
      <c r="AP46" s="131">
        <v>5</v>
      </c>
      <c r="AQ46" s="131">
        <v>5</v>
      </c>
      <c r="AR46" s="131">
        <v>6</v>
      </c>
      <c r="AS46" s="131">
        <v>6</v>
      </c>
      <c r="AT46" s="131">
        <v>7</v>
      </c>
      <c r="AU46" s="131">
        <v>7</v>
      </c>
      <c r="AV46" s="131">
        <v>8</v>
      </c>
      <c r="AW46" s="131">
        <v>8</v>
      </c>
      <c r="AX46" s="131">
        <v>9</v>
      </c>
      <c r="AY46" s="131">
        <v>9</v>
      </c>
      <c r="AZ46" s="131">
        <f>ROUNDUP(AZ22,0)</f>
        <v>10</v>
      </c>
      <c r="BA46" s="131">
        <f>ROUNDUP(BA22,0)</f>
        <v>0</v>
      </c>
      <c r="BB46" s="131">
        <f>ROUNDUP(BB22,0)</f>
        <v>0</v>
      </c>
      <c r="BI46" s="127">
        <f>IF('Liste Armée'!P56="-",0,IF(OR('Liste Armée'!E56="LH",'Liste Armée'!E56="LF"),0.5,IF('Liste Armée'!E56="SCh",0,1)))</f>
        <v>0</v>
      </c>
      <c r="BJ46" s="127" t="str">
        <f>IF(OR('Liste Armée'!$E56="HF",'Liste Armée'!$E56="MF",'Liste Armée'!$E56="LF"),"infanterie",IF(OR('Liste Armée'!$E56="Kn",'Liste Armée'!$E56="Ct",'Liste Armée'!$E56="Cv",'Liste Armée'!$E56="LH",'Liste Armée'!$E56="LCh",'Liste Armée'!$E56="HCh",'Liste Armée'!$E56="SCh",'Liste Armée'!$E56="EL"),"montes",IF(OR('Liste Armée'!$E56="BWG"),"BWG","special")))</f>
        <v>special</v>
      </c>
      <c r="BK46" s="127">
        <f ca="1">VLOOKUP('Liste Armée'!$E56&amp;" "&amp;'Liste Armée'!$F56,Table_budget,MATCH('Liste Armée'!$G56,Colonnes_table_budget,FALSE),FALSE)
   +IF('Liste Armée'!$H56=VLOOKUP("Drilled",Zone_Traduction,ref_langue,FALSE),VLOOKUP('Liste Armée'!$E56&amp;" "&amp;'Liste Armée'!$F56,Table_budget,MATCH(VLOOKUP("Drilled",Zone_Traduction,ref_langue,FALSE),Colonnes_table_budget,FALSE),FALSE),0)
   +IF(ISERROR(VLOOKUP(BJ46&amp;" "&amp;$G46,Table_armes_tir,2,FALSE)),0,VLOOKUP(BJ46&amp;" "&amp;$G46,Table_armes_tir,2,FALSE))
   +IF(ISERROR(VLOOKUP(BJ46&amp;" "&amp;$I46,Table_armes_melee,2,FALSE)),0,VLOOKUP(BJ46&amp;" "&amp;$I46,Table_armes_melee,2,FALSE))
   +IF(ISERROR(VLOOKUP($J48,Table_special,2,FALSE)),0,VLOOKUP($J48,Table_special,2,FALSE))</f>
        <v>0</v>
      </c>
      <c r="BL46" s="127">
        <f ca="1">'Liste Armée'!$M56*'Liste Armée'!$L56</f>
        <v>0</v>
      </c>
      <c r="BM46" s="126"/>
      <c r="BN46" s="127">
        <f>IF(OR('Liste Armée'!$E56="CV",'Liste Armée'!$E56="LH",'Liste Armée'!$E56="LCH"),'Liste Armée'!$L56,0)</f>
        <v>0</v>
      </c>
    </row>
    <row r="47" spans="1:66" ht="12.75" customHeight="1">
      <c r="J47" s="296" t="s">
        <v>84</v>
      </c>
      <c r="K47" s="211"/>
      <c r="M47" s="293">
        <v>27</v>
      </c>
      <c r="N47" s="295" t="s">
        <v>399</v>
      </c>
      <c r="Q47" s="131" t="str">
        <f ca="1">Q62</f>
        <v>Average</v>
      </c>
      <c r="R47" s="292"/>
      <c r="T47" s="199" t="str">
        <f ca="1">VLOOKUP("Light Spear Swordsmen",Zone_Traduction,ref_langue,FALSE)</f>
        <v>Light spear Swordsmen</v>
      </c>
      <c r="AF47" s="203">
        <v>21</v>
      </c>
      <c r="AG47" s="131">
        <v>1</v>
      </c>
      <c r="AH47" s="131">
        <v>1</v>
      </c>
      <c r="AI47" s="131">
        <v>1</v>
      </c>
      <c r="AJ47" s="131">
        <v>2</v>
      </c>
      <c r="AK47" s="131">
        <v>2</v>
      </c>
      <c r="AL47" s="131">
        <v>3</v>
      </c>
      <c r="AM47" s="131">
        <v>3</v>
      </c>
      <c r="AN47" s="131">
        <v>3</v>
      </c>
      <c r="AO47" s="131">
        <v>4</v>
      </c>
      <c r="AP47" s="131">
        <v>4</v>
      </c>
      <c r="AQ47" s="131">
        <v>5</v>
      </c>
      <c r="AR47" s="131">
        <v>5</v>
      </c>
      <c r="AS47" s="131">
        <v>6</v>
      </c>
      <c r="AT47" s="131">
        <v>6</v>
      </c>
      <c r="AU47" s="131">
        <v>7</v>
      </c>
      <c r="AV47" s="131">
        <v>7</v>
      </c>
      <c r="AW47" s="131">
        <v>8</v>
      </c>
      <c r="AX47" s="131">
        <v>8</v>
      </c>
      <c r="AY47" s="131">
        <v>9</v>
      </c>
      <c r="AZ47" s="131">
        <v>9</v>
      </c>
      <c r="BA47" s="131">
        <f>ROUNDUP(BA23,0)</f>
        <v>10</v>
      </c>
      <c r="BB47" s="131">
        <f>ROUNDUP(BB23,0)</f>
        <v>0</v>
      </c>
      <c r="BI47" s="127">
        <f>IF('Liste Armée'!P57="-",0,IF(OR('Liste Armée'!E57="LH",'Liste Armée'!E57="LF"),0.5,IF('Liste Armée'!E57="SCh",0,1)))</f>
        <v>0</v>
      </c>
      <c r="BJ47" s="127" t="str">
        <f>IF(OR('Liste Armée'!$E57="HF",'Liste Armée'!$E57="MF",'Liste Armée'!$E57="LF"),"infanterie",IF(OR('Liste Armée'!$E57="Kn",'Liste Armée'!$E57="Ct",'Liste Armée'!$E57="Cv",'Liste Armée'!$E57="LH",'Liste Armée'!$E57="LCh",'Liste Armée'!$E57="HCh",'Liste Armée'!$E57="SCh",'Liste Armée'!$E57="EL"),"montes",IF(OR('Liste Armée'!$E57="BWG"),"BWG","special")))</f>
        <v>special</v>
      </c>
      <c r="BK47" s="127">
        <f ca="1">VLOOKUP('Liste Armée'!$E57&amp;" "&amp;'Liste Armée'!$F57,Table_budget,MATCH('Liste Armée'!$G57,Colonnes_table_budget,FALSE),FALSE)
   +IF('Liste Armée'!$H57=VLOOKUP("Drilled",Zone_Traduction,ref_langue,FALSE),VLOOKUP('Liste Armée'!$E57&amp;" "&amp;'Liste Armée'!$F57,Table_budget,MATCH(VLOOKUP("Drilled",Zone_Traduction,ref_langue,FALSE),Colonnes_table_budget,FALSE),FALSE),0)
   +IF(ISERROR(VLOOKUP(BJ47&amp;" "&amp;$G47,Table_armes_tir,2,FALSE)),0,VLOOKUP(BJ47&amp;" "&amp;$G47,Table_armes_tir,2,FALSE))
   +IF(ISERROR(VLOOKUP(BJ47&amp;" "&amp;$I47,Table_armes_melee,2,FALSE)),0,VLOOKUP(BJ47&amp;" "&amp;$I47,Table_armes_melee,2,FALSE))
   +IF(ISERROR(VLOOKUP($J49,Table_special,2,FALSE)),0,VLOOKUP($J49,Table_special,2,FALSE))</f>
        <v>0</v>
      </c>
      <c r="BL47" s="127">
        <f ca="1">'Liste Armée'!$M57*'Liste Armée'!$L57</f>
        <v>0</v>
      </c>
      <c r="BM47" s="126"/>
      <c r="BN47" s="127">
        <f>IF(OR('Liste Armée'!$E57="CV",'Liste Armée'!$E57="LH",'Liste Armée'!$E57="LCH"),'Liste Armée'!$L57,0)</f>
        <v>0</v>
      </c>
    </row>
    <row r="48" spans="1:66" ht="12.75" customHeight="1">
      <c r="J48" s="297" t="s">
        <v>30</v>
      </c>
      <c r="K48" s="216">
        <v>0</v>
      </c>
      <c r="M48" s="280">
        <v>28</v>
      </c>
      <c r="N48" s="295" t="s">
        <v>400</v>
      </c>
      <c r="Q48" s="131" t="str">
        <f ca="1">Q63</f>
        <v>Poor</v>
      </c>
      <c r="R48" s="292" t="s">
        <v>1207</v>
      </c>
      <c r="T48" s="199" t="str">
        <f ca="1">VLOOKUP("Lancer",Zone_Traduction,ref_langue,FALSE)</f>
        <v>Lancer</v>
      </c>
      <c r="AE48" s="127" t="s">
        <v>301</v>
      </c>
      <c r="AF48" s="298" t="s">
        <v>302</v>
      </c>
      <c r="AG48" s="131">
        <v>1</v>
      </c>
      <c r="AH48" s="131">
        <v>1</v>
      </c>
      <c r="AI48" s="131">
        <v>1</v>
      </c>
      <c r="AJ48" s="131">
        <v>2</v>
      </c>
      <c r="AK48" s="131">
        <v>2</v>
      </c>
      <c r="AL48" s="131">
        <v>2</v>
      </c>
      <c r="AM48" s="131">
        <v>3</v>
      </c>
      <c r="AN48" s="131">
        <v>3</v>
      </c>
      <c r="AO48" s="131">
        <v>4</v>
      </c>
      <c r="AP48" s="131">
        <v>4</v>
      </c>
      <c r="AQ48" s="131">
        <v>5</v>
      </c>
      <c r="AR48" s="131">
        <v>5</v>
      </c>
      <c r="AS48" s="131">
        <v>6</v>
      </c>
      <c r="AT48" s="131">
        <v>6</v>
      </c>
      <c r="AU48" s="131">
        <v>6</v>
      </c>
      <c r="AV48" s="131">
        <v>7</v>
      </c>
      <c r="AW48" s="131">
        <v>7</v>
      </c>
      <c r="AX48" s="131">
        <v>8</v>
      </c>
      <c r="AY48" s="131">
        <v>8</v>
      </c>
      <c r="AZ48" s="131">
        <v>9</v>
      </c>
      <c r="BA48" s="131">
        <v>9</v>
      </c>
      <c r="BB48" s="131">
        <f>ROUNDUP(BB24,0)</f>
        <v>10</v>
      </c>
      <c r="BC48" s="131">
        <f>ROUNDUP(BC24,0)</f>
        <v>0</v>
      </c>
      <c r="BI48" s="127">
        <f>IF('Liste Armée'!P58="-",0,IF(OR('Liste Armée'!E58="LH",'Liste Armée'!E58="LF"),0.5,IF('Liste Armée'!E58="SCh",0,1)))</f>
        <v>0</v>
      </c>
      <c r="BJ48" s="127" t="str">
        <f>IF(OR('Liste Armée'!$E58="HF",'Liste Armée'!$E58="MF",'Liste Armée'!$E58="LF"),"infanterie",IF(OR('Liste Armée'!$E58="Kn",'Liste Armée'!$E58="Ct",'Liste Armée'!$E58="Cv",'Liste Armée'!$E58="LH",'Liste Armée'!$E58="LCh",'Liste Armée'!$E58="HCh",'Liste Armée'!$E58="SCh",'Liste Armée'!$E58="EL"),"montes",IF(OR('Liste Armée'!$E58="BWG"),"BWG","special")))</f>
        <v>special</v>
      </c>
      <c r="BK48" s="127">
        <f ca="1">VLOOKUP('Liste Armée'!$E58&amp;" "&amp;'Liste Armée'!$F58,Table_budget,MATCH('Liste Armée'!$G58,Colonnes_table_budget,FALSE),FALSE)
   +IF('Liste Armée'!$H58=VLOOKUP("Drilled",Zone_Traduction,ref_langue,FALSE),VLOOKUP('Liste Armée'!$E58&amp;" "&amp;'Liste Armée'!$F58,Table_budget,MATCH(VLOOKUP("Drilled",Zone_Traduction,ref_langue,FALSE),Colonnes_table_budget,FALSE),FALSE),0)
   +IF(ISERROR(VLOOKUP(BJ48&amp;" "&amp;$G48,Table_armes_tir,2,FALSE)),0,VLOOKUP(BJ48&amp;" "&amp;$G48,Table_armes_tir,2,FALSE))
   +IF(ISERROR(VLOOKUP(BJ48&amp;" "&amp;$I48,Table_armes_melee,2,FALSE)),0,VLOOKUP(BJ48&amp;" "&amp;$I48,Table_armes_melee,2,FALSE))
   +IF(ISERROR(VLOOKUP($J50,Table_special,2,FALSE)),0,VLOOKUP($J50,Table_special,2,FALSE))</f>
        <v>0</v>
      </c>
      <c r="BL48" s="127">
        <f ca="1">'Liste Armée'!$M58*'Liste Armée'!$L58</f>
        <v>0</v>
      </c>
      <c r="BM48" s="126"/>
      <c r="BN48" s="127">
        <f>IF(OR('Liste Armée'!$E58="CV",'Liste Armée'!$E58="LH",'Liste Armée'!$E58="LCH"),'Liste Armée'!$L58,0)</f>
        <v>0</v>
      </c>
    </row>
    <row r="49" spans="2:66" ht="12.75" customHeight="1">
      <c r="J49" s="299" t="s">
        <v>1245</v>
      </c>
      <c r="K49" s="216">
        <v>1</v>
      </c>
      <c r="M49" s="293">
        <v>29</v>
      </c>
      <c r="N49" s="295" t="s">
        <v>401</v>
      </c>
      <c r="Q49" s="131" t="s">
        <v>30</v>
      </c>
      <c r="R49" s="292" t="str">
        <f ca="1">T46</f>
        <v>Lancer Swordsmen</v>
      </c>
      <c r="T49" s="199" t="str">
        <f ca="1">VLOOKUP("Light Spear",Zone_Traduction,ref_langue,FALSE)</f>
        <v>Light Spear</v>
      </c>
      <c r="AE49" s="210">
        <v>-1</v>
      </c>
      <c r="AF49" s="300" t="s">
        <v>30</v>
      </c>
      <c r="BI49" s="127">
        <f>IF('Liste Armée'!P59="-",0,IF(OR('Liste Armée'!E59="LH",'Liste Armée'!E59="LF"),0.5,IF('Liste Armée'!E59="SCh",0,1)))</f>
        <v>0</v>
      </c>
      <c r="BJ49" s="127" t="str">
        <f>IF(OR('Liste Armée'!$E59="HF",'Liste Armée'!$E59="MF",'Liste Armée'!$E59="LF"),"infanterie",IF(OR('Liste Armée'!$E59="Kn",'Liste Armée'!$E59="Ct",'Liste Armée'!$E59="Cv",'Liste Armée'!$E59="LH",'Liste Armée'!$E59="LCh",'Liste Armée'!$E59="HCh",'Liste Armée'!$E59="SCh",'Liste Armée'!$E59="EL"),"montes",IF(OR('Liste Armée'!$E59="BWG"),"BWG","special")))</f>
        <v>special</v>
      </c>
      <c r="BK49" s="127">
        <f ca="1">VLOOKUP('Liste Armée'!$E59&amp;" "&amp;'Liste Armée'!$F59,Table_budget,MATCH('Liste Armée'!$G59,Colonnes_table_budget,FALSE),FALSE)
   +IF('Liste Armée'!$H59=VLOOKUP("Drilled",Zone_Traduction,ref_langue,FALSE),VLOOKUP('Liste Armée'!$E59&amp;" "&amp;'Liste Armée'!$F59,Table_budget,MATCH(VLOOKUP("Drilled",Zone_Traduction,ref_langue,FALSE),Colonnes_table_budget,FALSE),FALSE),0)
   +IF(ISERROR(VLOOKUP(BJ49&amp;" "&amp;$G49,Table_armes_tir,2,FALSE)),0,VLOOKUP(BJ49&amp;" "&amp;$G49,Table_armes_tir,2,FALSE))
   +IF(ISERROR(VLOOKUP(BJ49&amp;" "&amp;$I49,Table_armes_melee,2,FALSE)),0,VLOOKUP(BJ49&amp;" "&amp;$I49,Table_armes_melee,2,FALSE))
   +IF(ISERROR(VLOOKUP($J51,Table_special,2,FALSE)),0,VLOOKUP($J51,Table_special,2,FALSE))</f>
        <v>0</v>
      </c>
      <c r="BL49" s="127">
        <f ca="1">'Liste Armée'!$M59*'Liste Armée'!$L59</f>
        <v>0</v>
      </c>
      <c r="BM49" s="126"/>
      <c r="BN49" s="127">
        <f>IF(OR('Liste Armée'!$E59="CV",'Liste Armée'!$E59="LH",'Liste Armée'!$E59="LCH"),'Liste Armée'!$L59,0)</f>
        <v>0</v>
      </c>
    </row>
    <row r="50" spans="2:66" ht="12.75" customHeight="1">
      <c r="J50" s="299" t="s">
        <v>1246</v>
      </c>
      <c r="K50" s="216">
        <v>2</v>
      </c>
      <c r="M50" s="280">
        <v>30</v>
      </c>
      <c r="N50" s="295" t="s">
        <v>402</v>
      </c>
      <c r="R50" s="292" t="str">
        <f ca="1">T48</f>
        <v>Lancer</v>
      </c>
      <c r="T50" s="199" t="str">
        <f ca="1">VLOOKUP("Swordsmen",Zone_Traduction,ref_langue,FALSE)</f>
        <v>Swordsmen</v>
      </c>
      <c r="AE50" s="263">
        <v>0</v>
      </c>
      <c r="AF50" s="301" t="s">
        <v>30</v>
      </c>
      <c r="AG50" s="131">
        <v>1</v>
      </c>
      <c r="AH50" s="131">
        <v>2</v>
      </c>
      <c r="AI50" s="131">
        <v>3</v>
      </c>
      <c r="AJ50" s="131">
        <v>4</v>
      </c>
      <c r="AK50" s="131">
        <v>5</v>
      </c>
      <c r="AL50" s="131">
        <v>6</v>
      </c>
      <c r="AM50" s="131">
        <v>7</v>
      </c>
      <c r="AN50" s="131">
        <v>8</v>
      </c>
      <c r="AO50" s="131">
        <v>9</v>
      </c>
      <c r="AP50" s="131">
        <v>10</v>
      </c>
      <c r="AQ50" s="131">
        <v>11</v>
      </c>
      <c r="AR50" s="131">
        <v>12</v>
      </c>
      <c r="AS50" s="131">
        <v>13</v>
      </c>
      <c r="AT50" s="131">
        <v>14</v>
      </c>
      <c r="AU50" s="131">
        <v>15</v>
      </c>
      <c r="AV50" s="131">
        <v>16</v>
      </c>
      <c r="AW50" s="131">
        <v>17</v>
      </c>
      <c r="AX50" s="131">
        <v>18</v>
      </c>
      <c r="AY50" s="131">
        <v>19</v>
      </c>
      <c r="AZ50" s="131">
        <v>20</v>
      </c>
      <c r="BA50" s="131">
        <v>21</v>
      </c>
      <c r="BB50" s="131">
        <v>22</v>
      </c>
      <c r="BC50" s="131">
        <v>23</v>
      </c>
      <c r="BI50" s="127">
        <f>IF('Liste Armée'!P60="-",0,IF(OR('Liste Armée'!E60="LH",'Liste Armée'!E60="LF"),0.5,IF('Liste Armée'!E60="SCh",0,1)))</f>
        <v>0</v>
      </c>
      <c r="BJ50" s="127" t="str">
        <f>IF(OR('Liste Armée'!$E60="HF",'Liste Armée'!$E60="MF",'Liste Armée'!$E60="LF"),"infanterie",IF(OR('Liste Armée'!$E60="Kn",'Liste Armée'!$E60="Ct",'Liste Armée'!$E60="Cv",'Liste Armée'!$E60="LH",'Liste Armée'!$E60="LCh",'Liste Armée'!$E60="HCh",'Liste Armée'!$E60="SCh",'Liste Armée'!$E60="EL"),"montes",IF(OR('Liste Armée'!$E60="BWG"),"BWG","special")))</f>
        <v>special</v>
      </c>
      <c r="BK50" s="127">
        <f ca="1">VLOOKUP('Liste Armée'!$E60&amp;" "&amp;'Liste Armée'!$F60,Table_budget,MATCH('Liste Armée'!$G60,Colonnes_table_budget,FALSE),FALSE)
   +IF('Liste Armée'!$H60=VLOOKUP("Drilled",Zone_Traduction,ref_langue,FALSE),VLOOKUP('Liste Armée'!$E60&amp;" "&amp;'Liste Armée'!$F60,Table_budget,MATCH(VLOOKUP("Drilled",Zone_Traduction,ref_langue,FALSE),Colonnes_table_budget,FALSE),FALSE),0)
   +IF(ISERROR(VLOOKUP(BJ50&amp;" "&amp;$G50,Table_armes_tir,2,FALSE)),0,VLOOKUP(BJ50&amp;" "&amp;$G50,Table_armes_tir,2,FALSE))
   +IF(ISERROR(VLOOKUP(BJ50&amp;" "&amp;$I50,Table_armes_melee,2,FALSE)),0,VLOOKUP(BJ50&amp;" "&amp;$I50,Table_armes_melee,2,FALSE))
   +IF(ISERROR(VLOOKUP($J52,Table_special,2,FALSE)),0,VLOOKUP($J52,Table_special,2,FALSE))</f>
        <v>0</v>
      </c>
      <c r="BL50" s="127">
        <f ca="1">'Liste Armée'!$M60*'Liste Armée'!$L60</f>
        <v>0</v>
      </c>
      <c r="BM50" s="126"/>
      <c r="BN50" s="127">
        <f>IF(OR('Liste Armée'!$E60="CV",'Liste Armée'!$E60="LH",'Liste Armée'!$E60="LCH"),'Liste Armée'!$L60,0)</f>
        <v>0</v>
      </c>
    </row>
    <row r="51" spans="2:66" ht="12.75" customHeight="1">
      <c r="J51" s="302" t="s">
        <v>1247</v>
      </c>
      <c r="K51" s="303">
        <v>0</v>
      </c>
      <c r="M51" s="293">
        <v>31</v>
      </c>
      <c r="N51" s="295" t="s">
        <v>403</v>
      </c>
      <c r="Q51" s="131" t="s">
        <v>1201</v>
      </c>
      <c r="R51" s="292" t="str">
        <f ca="1">T50</f>
        <v>Swordsmen</v>
      </c>
      <c r="T51" s="199" t="str">
        <f ca="1">VLOOKUP("Defensive Spearmen",Zone_Traduction,ref_langue,FALSE)</f>
        <v>Defensive Spearmen</v>
      </c>
      <c r="AE51" s="263">
        <v>1</v>
      </c>
      <c r="AF51" s="301" t="s">
        <v>30</v>
      </c>
      <c r="AG51" s="304" t="s">
        <v>30</v>
      </c>
      <c r="BI51" s="127">
        <f>IF('Liste Armée'!P61="-",0,IF(OR('Liste Armée'!E61="LH",'Liste Armée'!E61="LF"),0.5,IF('Liste Armée'!E61="SCh",0,1)))</f>
        <v>0</v>
      </c>
      <c r="BJ51" s="127" t="str">
        <f>IF(OR('Liste Armée'!$E61="HF",'Liste Armée'!$E61="MF",'Liste Armée'!$E61="LF"),"infanterie",IF(OR('Liste Armée'!$E61="Kn",'Liste Armée'!$E61="Ct",'Liste Armée'!$E61="Cv",'Liste Armée'!$E61="LH",'Liste Armée'!$E61="LCh",'Liste Armée'!$E61="HCh",'Liste Armée'!$E61="SCh",'Liste Armée'!$E61="EL"),"montes",IF(OR('Liste Armée'!$E61="BWG"),"BWG","special")))</f>
        <v>special</v>
      </c>
      <c r="BK51" s="127">
        <f ca="1">VLOOKUP('Liste Armée'!$E61&amp;" "&amp;'Liste Armée'!$F61,Table_budget,MATCH('Liste Armée'!$G61,Colonnes_table_budget,FALSE),FALSE)
   +IF('Liste Armée'!$H61=VLOOKUP("Drilled",Zone_Traduction,ref_langue,FALSE),VLOOKUP('Liste Armée'!$E61&amp;" "&amp;'Liste Armée'!$F61,Table_budget,MATCH(VLOOKUP("Drilled",Zone_Traduction,ref_langue,FALSE),Colonnes_table_budget,FALSE),FALSE),0)
   +IF(ISERROR(VLOOKUP(BJ51&amp;" "&amp;$G51,Table_armes_tir,2,FALSE)),0,VLOOKUP(BJ51&amp;" "&amp;$G51,Table_armes_tir,2,FALSE))
   +IF(ISERROR(VLOOKUP(BJ51&amp;" "&amp;$I51,Table_armes_melee,2,FALSE)),0,VLOOKUP(BJ51&amp;" "&amp;$I51,Table_armes_melee,2,FALSE))
   +IF(ISERROR(VLOOKUP($J53,Table_special,2,FALSE)),0,VLOOKUP($J53,Table_special,2,FALSE))</f>
        <v>0</v>
      </c>
      <c r="BL51" s="127">
        <f ca="1">'Liste Armée'!$M61*'Liste Armée'!$L61</f>
        <v>0</v>
      </c>
      <c r="BM51" s="126"/>
      <c r="BN51" s="127">
        <f>IF(OR('Liste Armée'!$E61="CV",'Liste Armée'!$E61="LH",'Liste Armée'!$E61="LCH"),'Liste Armée'!$L61,0)</f>
        <v>0</v>
      </c>
    </row>
    <row r="52" spans="2:66" ht="12.75" customHeight="1">
      <c r="B52" s="131" t="str">
        <f>IF(OR('Liste Armée'!E22="HF",'Liste Armée'!E22="MF",'Liste Armée'!E22="LF"),"infanterie",IF(OR('Liste Armée'!E22="KN",'Liste Armée'!E22="CAT",'Liste Armée'!E22="CV",'Liste Armée'!E22="LH",'Liste Armée'!E22="LCH",'Liste Armée'!E22="HCH",'Liste Armée'!E22="SCH",'Liste Armée'!E22="EL"),"montes",IF(OR('Liste Armée'!E22="WWG",Données!H35="WGA"),"WWG","Special")))</f>
        <v>Special</v>
      </c>
      <c r="C52" s="131">
        <f ca="1">VLOOKUP('Liste Armée'!E23&amp;" "&amp;'Liste Armée'!F23,Table_budget,MATCH('Liste Armée'!G23,Colonnes_table_budget,FALSE),FALSE)
   +IF('Liste Armée'!H23=VLOOKUP("Drilled",Zone_Traduction,ref_langue,FALSE),VLOOKUP('Liste Armée'!E23&amp;" "&amp;'Liste Armée'!F23,Table_budget,MATCH(VLOOKUP("Drilled",Zone_Traduction,ref_langue,FALSE),Colonnes_table_budget,FALSE),FALSE),0)
   +IF(ISERROR(VLOOKUP(B52&amp;" "&amp;'Liste Armée'!I23,Table_armes_tir,2,FALSE)),0,VLOOKUP(B52&amp;" "&amp;'Liste Armée'!I23,Table_armes_tir,2,FALSE))
   +IF(ISERROR(VLOOKUP(B52&amp;" "&amp;'Liste Armée'!#REF!,Table_armes_impact,2,FALSE)),0,VLOOKUP(B52&amp;" "&amp;'Liste Armée'!#REF!,Table_armes_impact,2,FALSE))
   +IF(ISERROR(VLOOKUP(B52&amp;" "&amp;'Liste Armée'!J23,Table_armes_melee,2,FALSE)),0,VLOOKUP(B52&amp;" "&amp;'Liste Armée'!J23,Table_armes_melee,2,FALSE))
   +IF(ISERROR(VLOOKUP('Liste Armée'!K23,Table_special,2,FALSE)),0,VLOOKUP('Liste Armée'!K23,Table_special,2,FALSE))</f>
        <v>0</v>
      </c>
      <c r="L52" s="305"/>
      <c r="M52" s="280">
        <v>32</v>
      </c>
      <c r="N52" s="306" t="s">
        <v>404</v>
      </c>
      <c r="O52" s="305"/>
      <c r="P52" s="305"/>
      <c r="Q52" s="131" t="str">
        <f ca="1">Q62</f>
        <v>Average</v>
      </c>
      <c r="R52" s="292" t="s">
        <v>30</v>
      </c>
      <c r="S52" s="305"/>
      <c r="T52" s="199" t="str">
        <f ca="1">VLOOKUP("Heavy Weapon",Zone_Traduction,ref_langue,FALSE)</f>
        <v>Heavy Weapon</v>
      </c>
      <c r="U52" s="305"/>
      <c r="V52" s="305"/>
      <c r="W52" s="305"/>
      <c r="X52" s="305"/>
      <c r="Y52" s="305"/>
      <c r="Z52" s="305"/>
      <c r="AA52" s="305"/>
      <c r="AB52" s="305"/>
      <c r="AC52" s="305"/>
      <c r="AD52" s="305"/>
      <c r="AE52" s="263">
        <v>2</v>
      </c>
      <c r="AF52" s="307" t="str">
        <f t="shared" ref="AF52:AF72" si="10">CONCATENATE(AG52,AH52,AI52,AJ52,AK52,AL52,AM52,AN52,AO52,AP52,AQ52,AR52,AS52,AT52,AU52,AV52,AW52,AX52,AY52,AZ52,BA52,BB52,BC52)</f>
        <v>-</v>
      </c>
      <c r="AG52" s="131" t="str">
        <f>CONCATENATE(AG28,$AF$28)</f>
        <v>-</v>
      </c>
    </row>
    <row r="53" spans="2:66" ht="12.75" customHeight="1">
      <c r="B53" s="131" t="str">
        <f>IF(OR('Liste Armée'!E23="HF",'Liste Armée'!E23="MF",'Liste Armée'!E23="LF"),"infanterie",IF(OR('Liste Armée'!E23="KN",'Liste Armée'!E23="CAT",'Liste Armée'!E23="CV",'Liste Armée'!E23="LH",'Liste Armée'!E23="LCH",'Liste Armée'!E23="HCH",'Liste Armée'!E23="SCH",'Liste Armée'!E23="EL"),"montes",IF(OR('Liste Armée'!E23="WWG",Données!H36="WGA"),"WWG","Special")))</f>
        <v>Special</v>
      </c>
      <c r="H53" s="304" t="s">
        <v>30</v>
      </c>
      <c r="I53" s="200"/>
      <c r="L53" s="308"/>
      <c r="M53" s="293">
        <v>33</v>
      </c>
      <c r="N53" s="309" t="s">
        <v>405</v>
      </c>
      <c r="O53" s="308"/>
      <c r="P53" s="309"/>
      <c r="Q53" s="131" t="s">
        <v>30</v>
      </c>
      <c r="S53" s="310"/>
      <c r="T53" s="311" t="str">
        <f ca="1">VLOOKUP("Impact Foot Skilled Swordsmen",Zone_Traduction,ref_langue,FALSE)</f>
        <v>Impact Foot Skilled Swordsmen</v>
      </c>
      <c r="U53" s="310"/>
      <c r="V53" s="310"/>
      <c r="W53" s="310"/>
      <c r="X53" s="310"/>
      <c r="Y53" s="310"/>
      <c r="Z53" s="310"/>
      <c r="AA53" s="310"/>
      <c r="AB53" s="310"/>
      <c r="AC53" s="310"/>
      <c r="AD53" s="310"/>
      <c r="AE53" s="263">
        <v>3</v>
      </c>
      <c r="AF53" s="301" t="s">
        <v>30</v>
      </c>
      <c r="AG53" s="131" t="str">
        <f t="shared" ref="AG53:AV73" si="11">CONCATENATE(AG29,$AF$28)</f>
        <v>-</v>
      </c>
      <c r="AH53" s="131" t="str">
        <f t="shared" si="11"/>
        <v>-</v>
      </c>
      <c r="AI53" s="131">
        <v>10</v>
      </c>
    </row>
    <row r="54" spans="2:66" ht="12.75" customHeight="1">
      <c r="B54" s="131" t="str">
        <f>IF(OR('Liste Armée'!E24="HF",'Liste Armée'!E24="MF",'Liste Armée'!E24="LF"),"infanterie",IF(OR('Liste Armée'!E24="KN",'Liste Armée'!E24="CAT",'Liste Armée'!E24="CV",'Liste Armée'!E24="LH",'Liste Armée'!E24="LCH",'Liste Armée'!E24="HCH",'Liste Armée'!E24="SCH",'Liste Armée'!E24="EL"),"montes",IF(OR('Liste Armée'!E24="WWG",Données!H37="WGA"),"WWG","Special")))</f>
        <v>Special</v>
      </c>
      <c r="I54" s="200"/>
      <c r="J54" s="200" t="s">
        <v>640</v>
      </c>
      <c r="K54" s="305"/>
      <c r="L54" s="308"/>
      <c r="M54" s="280">
        <v>34</v>
      </c>
      <c r="N54" s="309" t="s">
        <v>407</v>
      </c>
      <c r="O54" s="308"/>
      <c r="P54" s="308"/>
      <c r="Q54" s="131" t="s">
        <v>1202</v>
      </c>
      <c r="R54" s="292" t="s">
        <v>1208</v>
      </c>
      <c r="S54" s="308"/>
      <c r="T54" s="344" t="str">
        <f ca="1">VLOOKUP("Impact Foot Swordsmen",Zone_Traduction,ref_langue,FALSE)</f>
        <v>Impact Foot Swordsmen</v>
      </c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263">
        <v>4</v>
      </c>
      <c r="AF54" s="301" t="s">
        <v>30</v>
      </c>
      <c r="AG54" s="131" t="str">
        <f t="shared" si="11"/>
        <v>-</v>
      </c>
      <c r="AH54" s="131" t="str">
        <f t="shared" si="11"/>
        <v>-</v>
      </c>
      <c r="AI54" s="131" t="str">
        <f t="shared" si="11"/>
        <v>-</v>
      </c>
      <c r="AJ54" s="131">
        <v>10</v>
      </c>
    </row>
    <row r="55" spans="2:66" ht="12.75" customHeight="1">
      <c r="B55" s="131" t="str">
        <f>IF(OR('Liste Armée'!E25="HF",'Liste Armée'!E25="MF",'Liste Armée'!E25="LF"),"infanterie",IF(OR('Liste Armée'!E25="KN",'Liste Armée'!E25="CAT",'Liste Armée'!E25="CV",'Liste Armée'!E25="LH",'Liste Armée'!E25="LCH",'Liste Armée'!E25="HCH",'Liste Armée'!E25="SCH",'Liste Armée'!E25="EL"),"montes",IF(OR('Liste Armée'!E25="WWG",Données!H38="WGA"),"WWG","Special")))</f>
        <v>Special</v>
      </c>
      <c r="I55" s="200"/>
      <c r="K55" s="308"/>
      <c r="L55" s="308"/>
      <c r="M55" s="293">
        <v>35</v>
      </c>
      <c r="N55" s="309" t="s">
        <v>408</v>
      </c>
      <c r="O55" s="308"/>
      <c r="P55" s="308"/>
      <c r="Q55" s="131" t="str">
        <f ca="1">Q62</f>
        <v>Average</v>
      </c>
      <c r="R55" s="292" t="str">
        <f ca="1">T46</f>
        <v>Lancer Swordsmen</v>
      </c>
      <c r="S55" s="308"/>
      <c r="T55" s="311" t="str">
        <f ca="1">VLOOKUP("Light Spear Skilled Swordsmen",Zone_Traduction,ref_langue,FALSE)</f>
        <v>Light Spear Skilled Swordsmen</v>
      </c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263">
        <v>5</v>
      </c>
      <c r="AF55" s="301" t="s">
        <v>30</v>
      </c>
      <c r="AG55" s="131" t="str">
        <f t="shared" si="11"/>
        <v>-</v>
      </c>
      <c r="AH55" s="131" t="str">
        <f t="shared" si="11"/>
        <v>-</v>
      </c>
      <c r="AI55" s="131" t="str">
        <f t="shared" si="11"/>
        <v>-</v>
      </c>
      <c r="AJ55" s="131" t="str">
        <f t="shared" si="11"/>
        <v>-</v>
      </c>
      <c r="AK55" s="131">
        <v>10</v>
      </c>
    </row>
    <row r="56" spans="2:66" ht="12.75" customHeight="1">
      <c r="B56" s="131" t="str">
        <f>IF(OR('Liste Armée'!E26="HF",'Liste Armée'!E26="MF",'Liste Armée'!E26="LF"),"infanterie",IF(OR('Liste Armée'!E26="KN",'Liste Armée'!E26="CAT",'Liste Armée'!E26="CV",'Liste Armée'!E26="LH",'Liste Armée'!E26="LCH",'Liste Armée'!E26="HCH",'Liste Armée'!E26="SCH",'Liste Armée'!E26="EL"),"montes",IF(OR('Liste Armée'!E26="WWG",Données!H39="WGA"),"WWG","Special")))</f>
        <v>Special</v>
      </c>
      <c r="I56" s="200"/>
      <c r="J56" s="199">
        <f ca="1">BN5+BM7</f>
        <v>0</v>
      </c>
      <c r="K56" s="308"/>
      <c r="L56" s="308"/>
      <c r="M56" s="280">
        <v>36</v>
      </c>
      <c r="N56" s="309" t="s">
        <v>406</v>
      </c>
      <c r="O56" s="308"/>
      <c r="P56" s="308"/>
      <c r="Q56" s="131" t="str">
        <f ca="1">Q63</f>
        <v>Poor</v>
      </c>
      <c r="R56" s="292" t="str">
        <f ca="1">T47</f>
        <v>Light spear Swordsmen</v>
      </c>
      <c r="S56" s="309"/>
      <c r="T56" s="311" t="str">
        <f ca="1">VLOOKUP("Offensive Spearmen",Zone_Traduction,ref_langue,FALSE)</f>
        <v>Offensive Spearmen</v>
      </c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263">
        <v>6</v>
      </c>
      <c r="AF56" s="307" t="str">
        <f t="shared" si="10"/>
        <v>2-3-5-6-8-10</v>
      </c>
      <c r="AG56" s="131" t="str">
        <f t="shared" si="11"/>
        <v>2-</v>
      </c>
      <c r="AH56" s="131" t="str">
        <f t="shared" si="11"/>
        <v>3-</v>
      </c>
      <c r="AI56" s="131" t="str">
        <f t="shared" si="11"/>
        <v>5-</v>
      </c>
      <c r="AJ56" s="131" t="str">
        <f t="shared" si="11"/>
        <v>6-</v>
      </c>
      <c r="AK56" s="131" t="str">
        <f t="shared" si="11"/>
        <v>8-</v>
      </c>
      <c r="AL56" s="131">
        <v>10</v>
      </c>
    </row>
    <row r="57" spans="2:66" ht="12.75" customHeight="1">
      <c r="B57" s="131" t="str">
        <f>IF(OR('Liste Armée'!E27="HF",'Liste Armée'!E27="MF",'Liste Armée'!E27="LF"),"infanterie",IF(OR('Liste Armée'!E27="KN",'Liste Armée'!E27="CAT",'Liste Armée'!E27="CV",'Liste Armée'!E27="LH",'Liste Armée'!E27="LCH",'Liste Armée'!E27="HCH",'Liste Armée'!E27="SCH",'Liste Armée'!E27="EL"),"montes",IF(OR('Liste Armée'!E27="WWG",Données!H40="WGA"),"WWG","Special")))</f>
        <v>Special</v>
      </c>
      <c r="I57" s="200"/>
      <c r="K57" s="308"/>
      <c r="L57" s="308"/>
      <c r="M57" s="308"/>
      <c r="N57" s="308"/>
      <c r="O57" s="308"/>
      <c r="P57" s="308"/>
      <c r="Q57" s="131" t="s">
        <v>30</v>
      </c>
      <c r="R57" s="292" t="str">
        <f ca="1">T48</f>
        <v>Lancer</v>
      </c>
      <c r="S57" s="308"/>
      <c r="T57" s="345" t="str">
        <f ca="1">VLOOKUP("Pike",Zone_Traduction,ref_langue,FALSE)</f>
        <v>Pike</v>
      </c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263">
        <v>7</v>
      </c>
      <c r="AF57" s="307" t="str">
        <f t="shared" si="10"/>
        <v>2-3-4-6-7-8-10</v>
      </c>
      <c r="AG57" s="131" t="str">
        <f t="shared" si="11"/>
        <v>2-</v>
      </c>
      <c r="AH57" s="131" t="str">
        <f t="shared" si="11"/>
        <v>3-</v>
      </c>
      <c r="AI57" s="131" t="str">
        <f t="shared" si="11"/>
        <v>4-</v>
      </c>
      <c r="AJ57" s="131" t="str">
        <f t="shared" si="11"/>
        <v>6-</v>
      </c>
      <c r="AK57" s="131" t="str">
        <f t="shared" si="11"/>
        <v>7-</v>
      </c>
      <c r="AL57" s="131" t="str">
        <f t="shared" si="11"/>
        <v>8-</v>
      </c>
      <c r="AM57" s="131">
        <v>10</v>
      </c>
    </row>
    <row r="58" spans="2:66" ht="12.75" customHeight="1">
      <c r="B58" s="131" t="str">
        <f>IF(OR('Liste Armée'!E28="HF",'Liste Armée'!E28="MF",'Liste Armée'!E28="LF"),"infanterie",IF(OR('Liste Armée'!E28="KN",'Liste Armée'!E28="CAT",'Liste Armée'!E28="CV",'Liste Armée'!E28="LH",'Liste Armée'!E28="LCH",'Liste Armée'!E28="HCH",'Liste Armée'!E28="SCH",'Liste Armée'!E28="EL"),"montes",IF(OR('Liste Armée'!E28="WWG",Données!H41="WGA"),"WWG","Special")))</f>
        <v>Special</v>
      </c>
      <c r="I58" s="200"/>
      <c r="K58" s="308"/>
      <c r="L58" s="308"/>
      <c r="M58" s="308"/>
      <c r="N58" s="308"/>
      <c r="O58" s="308"/>
      <c r="P58" s="308"/>
      <c r="R58" s="292" t="str">
        <f ca="1">T49</f>
        <v>Light Spear</v>
      </c>
      <c r="S58" s="308"/>
      <c r="T58" s="311" t="str">
        <f ca="1">VLOOKUP("Skilled Swordsmen",Zone_Traduction,ref_langue,FALSE)</f>
        <v>Skilled Swordsmen</v>
      </c>
      <c r="U58" s="309"/>
      <c r="V58" s="308"/>
      <c r="W58" s="308"/>
      <c r="X58" s="308"/>
      <c r="Y58" s="308"/>
      <c r="Z58" s="308"/>
      <c r="AA58" s="308"/>
      <c r="AB58" s="308"/>
      <c r="AC58" s="308"/>
      <c r="AD58" s="308"/>
      <c r="AE58" s="263">
        <v>8</v>
      </c>
      <c r="AF58" s="307" t="str">
        <f t="shared" si="10"/>
        <v>1-2-4-5-6-7-8-10</v>
      </c>
      <c r="AG58" s="131" t="str">
        <f t="shared" si="11"/>
        <v>1-</v>
      </c>
      <c r="AH58" s="131" t="str">
        <f t="shared" si="11"/>
        <v>2-</v>
      </c>
      <c r="AI58" s="131" t="str">
        <f t="shared" si="11"/>
        <v>4-</v>
      </c>
      <c r="AJ58" s="131" t="str">
        <f t="shared" si="11"/>
        <v>5-</v>
      </c>
      <c r="AK58" s="131" t="str">
        <f t="shared" si="11"/>
        <v>6-</v>
      </c>
      <c r="AL58" s="131" t="str">
        <f t="shared" si="11"/>
        <v>7-</v>
      </c>
      <c r="AM58" s="131" t="str">
        <f t="shared" si="11"/>
        <v>8-</v>
      </c>
      <c r="AN58" s="131">
        <v>10</v>
      </c>
    </row>
    <row r="59" spans="2:66" ht="12.75" customHeight="1">
      <c r="B59" s="131" t="str">
        <f>IF(OR('Liste Armée'!E29="HF",'Liste Armée'!E29="MF",'Liste Armée'!E29="LF"),"infanterie",IF(OR('Liste Armée'!E29="KN",'Liste Armée'!E29="CAT",'Liste Armée'!E29="CV",'Liste Armée'!E29="LH",'Liste Armée'!E29="LCH",'Liste Armée'!E29="HCH",'Liste Armée'!E29="SCH",'Liste Armée'!E29="EL"),"montes",IF(OR('Liste Armée'!E29="WWG",Données!H42="WGA"),"WWG","Special")))</f>
        <v>Special</v>
      </c>
      <c r="I59" s="200"/>
      <c r="K59" s="308"/>
      <c r="L59" s="308"/>
      <c r="M59" s="308"/>
      <c r="N59" s="308"/>
      <c r="O59" s="308"/>
      <c r="P59" s="308"/>
      <c r="Q59" s="131" t="s">
        <v>1203</v>
      </c>
      <c r="R59" s="292" t="str">
        <f ca="1">T50</f>
        <v>Swordsmen</v>
      </c>
      <c r="S59" s="308"/>
      <c r="T59" s="345" t="s">
        <v>1192</v>
      </c>
      <c r="U59" s="308"/>
      <c r="V59" s="309"/>
      <c r="W59" s="308"/>
      <c r="X59" s="308"/>
      <c r="Y59" s="308"/>
      <c r="Z59" s="308"/>
      <c r="AA59" s="308"/>
      <c r="AB59" s="308"/>
      <c r="AC59" s="308"/>
      <c r="AD59" s="308"/>
      <c r="AE59" s="263">
        <v>9</v>
      </c>
      <c r="AF59" s="307" t="str">
        <f t="shared" si="10"/>
        <v>1-2-3-4-5-6-7-8-10</v>
      </c>
      <c r="AG59" s="131" t="str">
        <f t="shared" si="11"/>
        <v>1-</v>
      </c>
      <c r="AH59" s="131" t="str">
        <f t="shared" si="11"/>
        <v>2-</v>
      </c>
      <c r="AI59" s="131" t="str">
        <f t="shared" si="11"/>
        <v>3-</v>
      </c>
      <c r="AJ59" s="131" t="str">
        <f t="shared" si="11"/>
        <v>4-</v>
      </c>
      <c r="AK59" s="131" t="str">
        <f t="shared" si="11"/>
        <v>5-</v>
      </c>
      <c r="AL59" s="131" t="str">
        <f t="shared" si="11"/>
        <v>6-</v>
      </c>
      <c r="AM59" s="131" t="str">
        <f t="shared" si="11"/>
        <v>7-</v>
      </c>
      <c r="AN59" s="131" t="str">
        <f t="shared" si="11"/>
        <v>8-</v>
      </c>
      <c r="AO59" s="131">
        <v>10</v>
      </c>
    </row>
    <row r="60" spans="2:66" ht="12.75" customHeight="1">
      <c r="B60" s="131" t="str">
        <f>IF(OR('Liste Armée'!E30="HF",'Liste Armée'!E30="MF",'Liste Armée'!E30="LF"),"infanterie",IF(OR('Liste Armée'!E30="KN",'Liste Armée'!E30="CAT",'Liste Armée'!E30="CV",'Liste Armée'!E30="LH",'Liste Armée'!E30="LCH",'Liste Armée'!E30="HCH",'Liste Armée'!E30="SCH",'Liste Armée'!E30="EL"),"montes",IF(OR('Liste Armée'!E30="WWG",Données!H43="WGA"),"WWG","Special")))</f>
        <v>Special</v>
      </c>
      <c r="I60" s="200"/>
      <c r="K60" s="308"/>
      <c r="L60" s="308"/>
      <c r="M60" s="308"/>
      <c r="N60" s="308"/>
      <c r="O60" s="308"/>
      <c r="P60" s="308"/>
      <c r="Q60" s="199" t="str">
        <f ca="1">VLOOKUP("Elite",Zone_Traduction,ref_langue,FALSE)</f>
        <v>Elite</v>
      </c>
      <c r="R60" s="292" t="s">
        <v>30</v>
      </c>
      <c r="S60" s="308"/>
      <c r="T60" s="308"/>
      <c r="U60" s="308"/>
      <c r="V60" s="308"/>
      <c r="W60" s="309"/>
      <c r="X60" s="308"/>
      <c r="Y60" s="308"/>
      <c r="Z60" s="308"/>
      <c r="AA60" s="308"/>
      <c r="AB60" s="308"/>
      <c r="AC60" s="308"/>
      <c r="AD60" s="308"/>
      <c r="AE60" s="263">
        <v>10</v>
      </c>
      <c r="AF60" s="307" t="str">
        <f t="shared" si="10"/>
        <v>1-2-3-4-5-6-7-8-9-10</v>
      </c>
      <c r="AG60" s="131" t="str">
        <f t="shared" si="11"/>
        <v>1-</v>
      </c>
      <c r="AH60" s="131" t="str">
        <f t="shared" si="11"/>
        <v>2-</v>
      </c>
      <c r="AI60" s="131" t="str">
        <f t="shared" si="11"/>
        <v>3-</v>
      </c>
      <c r="AJ60" s="131" t="str">
        <f t="shared" si="11"/>
        <v>4-</v>
      </c>
      <c r="AK60" s="131" t="str">
        <f t="shared" si="11"/>
        <v>5-</v>
      </c>
      <c r="AL60" s="131" t="str">
        <f t="shared" si="11"/>
        <v>6-</v>
      </c>
      <c r="AM60" s="131" t="str">
        <f t="shared" si="11"/>
        <v>7-</v>
      </c>
      <c r="AN60" s="131" t="str">
        <f t="shared" si="11"/>
        <v>8-</v>
      </c>
      <c r="AO60" s="131" t="str">
        <f t="shared" si="11"/>
        <v>9-</v>
      </c>
      <c r="AP60" s="131">
        <v>10</v>
      </c>
    </row>
    <row r="61" spans="2:66" ht="12.75" customHeight="1">
      <c r="B61" s="131" t="str">
        <f>IF(OR('Liste Armée'!E31="HF",'Liste Armée'!E31="MF",'Liste Armée'!E31="LF"),"infanterie",IF(OR('Liste Armée'!E31="KN",'Liste Armée'!E31="CAT",'Liste Armée'!E31="CV",'Liste Armée'!E31="LH",'Liste Armée'!E31="LCH",'Liste Armée'!E31="HCH",'Liste Armée'!E31="SCH",'Liste Armée'!E31="EL"),"montes",IF(OR('Liste Armée'!E31="WWG",Données!H44="WGA"),"WWG","Special")))</f>
        <v>Special</v>
      </c>
      <c r="I61" s="200"/>
      <c r="K61" s="308"/>
      <c r="L61" s="308"/>
      <c r="M61" s="308"/>
      <c r="N61" s="308"/>
      <c r="O61" s="308"/>
      <c r="P61" s="308"/>
      <c r="Q61" s="311" t="str">
        <f ca="1">VLOOKUP("Superior",Zone_Traduction,ref_langue,FALSE)</f>
        <v>Superior</v>
      </c>
      <c r="S61" s="308"/>
      <c r="T61" s="308"/>
      <c r="U61" s="308"/>
      <c r="V61" s="308"/>
      <c r="W61" s="308"/>
      <c r="X61" s="309"/>
      <c r="Y61" s="308"/>
      <c r="Z61" s="308"/>
      <c r="AA61" s="308"/>
      <c r="AB61" s="308"/>
      <c r="AC61" s="308"/>
      <c r="AD61" s="308"/>
      <c r="AE61" s="263">
        <v>11</v>
      </c>
      <c r="AF61" s="307" t="str">
        <f t="shared" si="10"/>
        <v>1-2-3-3-4-5-6-7-8-9-10</v>
      </c>
      <c r="AG61" s="131" t="str">
        <f t="shared" si="11"/>
        <v>1-</v>
      </c>
      <c r="AH61" s="131" t="str">
        <f t="shared" si="11"/>
        <v>2-</v>
      </c>
      <c r="AI61" s="131" t="str">
        <f t="shared" si="11"/>
        <v>3-</v>
      </c>
      <c r="AJ61" s="131" t="str">
        <f t="shared" si="11"/>
        <v>3-</v>
      </c>
      <c r="AK61" s="131" t="str">
        <f t="shared" si="11"/>
        <v>4-</v>
      </c>
      <c r="AL61" s="131" t="str">
        <f t="shared" si="11"/>
        <v>5-</v>
      </c>
      <c r="AM61" s="131" t="str">
        <f t="shared" si="11"/>
        <v>6-</v>
      </c>
      <c r="AN61" s="131" t="str">
        <f t="shared" si="11"/>
        <v>7-</v>
      </c>
      <c r="AO61" s="131" t="str">
        <f t="shared" si="11"/>
        <v>8-</v>
      </c>
      <c r="AP61" s="131" t="str">
        <f t="shared" si="11"/>
        <v>9-</v>
      </c>
      <c r="AQ61" s="131">
        <v>10</v>
      </c>
    </row>
    <row r="62" spans="2:66" ht="27" customHeight="1">
      <c r="B62" s="131" t="str">
        <f>IF(OR('Liste Armée'!E32="HF",'Liste Armée'!E32="MF",'Liste Armée'!E32="LF"),"infanterie",IF(OR('Liste Armée'!E32="KN",'Liste Armée'!E32="CAT",'Liste Armée'!E32="CV",'Liste Armée'!E32="LH",'Liste Armée'!E32="LCH",'Liste Armée'!E32="HCH",'Liste Armée'!E32="SCH",'Liste Armée'!E32="EL"),"montes",IF(OR('Liste Armée'!E32="WWG",Données!H45="WGA"),"WWG","Special")))</f>
        <v>Special</v>
      </c>
      <c r="I62" s="200"/>
      <c r="K62" s="308"/>
      <c r="L62" s="308"/>
      <c r="M62" s="308"/>
      <c r="N62" s="308"/>
      <c r="O62" s="308"/>
      <c r="P62" s="308"/>
      <c r="Q62" s="344" t="str">
        <f ca="1">VLOOKUP("Average",Zone_Traduction,ref_langue,FALSE)</f>
        <v>Average</v>
      </c>
      <c r="R62" s="292" t="s">
        <v>1209</v>
      </c>
      <c r="S62" s="308"/>
      <c r="T62" s="308"/>
      <c r="U62" s="308"/>
      <c r="V62" s="308"/>
      <c r="W62" s="308"/>
      <c r="X62" s="308"/>
      <c r="Y62" s="309"/>
      <c r="Z62" s="308"/>
      <c r="AA62" s="308"/>
      <c r="AB62" s="308"/>
      <c r="AC62" s="308"/>
      <c r="AD62" s="308"/>
      <c r="AE62" s="263">
        <v>12</v>
      </c>
      <c r="AF62" s="307" t="str">
        <f t="shared" si="10"/>
        <v>1-2-2-3-4-5-6-6-7-8-9-10</v>
      </c>
      <c r="AG62" s="131" t="str">
        <f t="shared" si="11"/>
        <v>1-</v>
      </c>
      <c r="AH62" s="131" t="str">
        <f t="shared" si="11"/>
        <v>2-</v>
      </c>
      <c r="AI62" s="131" t="str">
        <f t="shared" si="11"/>
        <v>2-</v>
      </c>
      <c r="AJ62" s="131" t="str">
        <f t="shared" si="11"/>
        <v>3-</v>
      </c>
      <c r="AK62" s="131" t="str">
        <f t="shared" si="11"/>
        <v>4-</v>
      </c>
      <c r="AL62" s="131" t="str">
        <f t="shared" si="11"/>
        <v>5-</v>
      </c>
      <c r="AM62" s="131" t="str">
        <f t="shared" si="11"/>
        <v>6-</v>
      </c>
      <c r="AN62" s="131" t="str">
        <f t="shared" si="11"/>
        <v>6-</v>
      </c>
      <c r="AO62" s="131" t="str">
        <f t="shared" si="11"/>
        <v>7-</v>
      </c>
      <c r="AP62" s="131" t="str">
        <f t="shared" si="11"/>
        <v>8-</v>
      </c>
      <c r="AQ62" s="131" t="str">
        <f t="shared" si="11"/>
        <v>9-</v>
      </c>
      <c r="AR62" s="131">
        <v>10</v>
      </c>
    </row>
    <row r="63" spans="2:66" ht="24.75" customHeight="1">
      <c r="B63" s="131" t="str">
        <f>IF(OR('Liste Armée'!E33="HF",'Liste Armée'!E33="MF",'Liste Armée'!E33="LF"),"infanterie",IF(OR('Liste Armée'!E33="KN",'Liste Armée'!E33="CAT",'Liste Armée'!E33="CV",'Liste Armée'!E33="LH",'Liste Armée'!E33="LCH",'Liste Armée'!E33="HCH",'Liste Armée'!E33="SCH",'Liste Armée'!E33="EL"),"montes",IF(OR('Liste Armée'!E33="WWG",Données!H46="WGA"),"WWG","Special")))</f>
        <v>Special</v>
      </c>
      <c r="I63" s="200"/>
      <c r="K63" s="308"/>
      <c r="L63" s="308"/>
      <c r="M63" s="308"/>
      <c r="N63" s="308"/>
      <c r="O63" s="308"/>
      <c r="P63" s="308"/>
      <c r="Q63" s="344" t="str">
        <f ca="1">VLOOKUP("Poor",Zone_Traduction,ref_langue,FALSE)</f>
        <v>Poor</v>
      </c>
      <c r="R63" s="292" t="str">
        <f ca="1">T49</f>
        <v>Light Spear</v>
      </c>
      <c r="S63" s="308"/>
      <c r="T63" s="308"/>
      <c r="U63" s="308"/>
      <c r="V63" s="308"/>
      <c r="W63" s="308"/>
      <c r="X63" s="308"/>
      <c r="Y63" s="308"/>
      <c r="Z63" s="309"/>
      <c r="AA63" s="308"/>
      <c r="AB63" s="308"/>
      <c r="AC63" s="308"/>
      <c r="AD63" s="308"/>
      <c r="AE63" s="263">
        <v>13</v>
      </c>
      <c r="AF63" s="307" t="str">
        <f t="shared" si="10"/>
        <v>1-1-2-3-4-4-5-6-7-7-8-9-10</v>
      </c>
      <c r="AG63" s="131" t="str">
        <f t="shared" si="11"/>
        <v>1-</v>
      </c>
      <c r="AH63" s="131" t="str">
        <f t="shared" si="11"/>
        <v>1-</v>
      </c>
      <c r="AI63" s="131" t="str">
        <f t="shared" si="11"/>
        <v>2-</v>
      </c>
      <c r="AJ63" s="131" t="str">
        <f t="shared" si="11"/>
        <v>3-</v>
      </c>
      <c r="AK63" s="131" t="str">
        <f t="shared" si="11"/>
        <v>4-</v>
      </c>
      <c r="AL63" s="131" t="str">
        <f t="shared" si="11"/>
        <v>4-</v>
      </c>
      <c r="AM63" s="131" t="str">
        <f t="shared" si="11"/>
        <v>5-</v>
      </c>
      <c r="AN63" s="131" t="str">
        <f t="shared" si="11"/>
        <v>6-</v>
      </c>
      <c r="AO63" s="131" t="str">
        <f t="shared" si="11"/>
        <v>7-</v>
      </c>
      <c r="AP63" s="131" t="str">
        <f t="shared" si="11"/>
        <v>7-</v>
      </c>
      <c r="AQ63" s="131" t="str">
        <f t="shared" si="11"/>
        <v>8-</v>
      </c>
      <c r="AR63" s="131" t="str">
        <f t="shared" si="11"/>
        <v>9-</v>
      </c>
      <c r="AS63" s="131">
        <v>10</v>
      </c>
    </row>
    <row r="64" spans="2:66" ht="24.75" customHeight="1">
      <c r="B64" s="131" t="str">
        <f>IF(OR('Liste Armée'!E34="HF",'Liste Armée'!E34="MF",'Liste Armée'!E34="LF"),"infanterie",IF(OR('Liste Armée'!E34="KN",'Liste Armée'!E34="CAT",'Liste Armée'!E34="CV",'Liste Armée'!E34="LH",'Liste Armée'!E34="LCH",'Liste Armée'!E34="HCH",'Liste Armée'!E34="SCH",'Liste Armée'!E34="EL"),"montes",IF(OR('Liste Armée'!E34="WWG",Données!H47="WGA"),"WWG","Special")))</f>
        <v>Special</v>
      </c>
      <c r="I64" s="200"/>
      <c r="K64" s="308"/>
      <c r="L64" s="308"/>
      <c r="M64" s="308"/>
      <c r="N64" s="308"/>
      <c r="O64" s="308"/>
      <c r="P64" s="308"/>
      <c r="Q64" s="312" t="s">
        <v>30</v>
      </c>
      <c r="R64" s="199" t="s">
        <v>30</v>
      </c>
      <c r="S64" s="308"/>
      <c r="T64" s="308"/>
      <c r="U64" s="308"/>
      <c r="V64" s="308"/>
      <c r="W64" s="308"/>
      <c r="X64" s="308"/>
      <c r="Y64" s="308"/>
      <c r="Z64" s="308"/>
      <c r="AA64" s="309"/>
      <c r="AB64" s="308"/>
      <c r="AC64" s="308"/>
      <c r="AD64" s="308"/>
      <c r="AE64" s="263">
        <v>14</v>
      </c>
      <c r="AF64" s="307" t="str">
        <f t="shared" si="10"/>
        <v>1-1-2-3-3-4-5-5-6-7-7-8-9-10</v>
      </c>
      <c r="AG64" s="131" t="str">
        <f t="shared" si="11"/>
        <v>1-</v>
      </c>
      <c r="AH64" s="131" t="str">
        <f t="shared" si="11"/>
        <v>1-</v>
      </c>
      <c r="AI64" s="131" t="str">
        <f t="shared" si="11"/>
        <v>2-</v>
      </c>
      <c r="AJ64" s="131" t="str">
        <f t="shared" si="11"/>
        <v>3-</v>
      </c>
      <c r="AK64" s="131" t="str">
        <f t="shared" si="11"/>
        <v>3-</v>
      </c>
      <c r="AL64" s="131" t="str">
        <f t="shared" si="11"/>
        <v>4-</v>
      </c>
      <c r="AM64" s="131" t="str">
        <f t="shared" si="11"/>
        <v>5-</v>
      </c>
      <c r="AN64" s="131" t="str">
        <f t="shared" si="11"/>
        <v>5-</v>
      </c>
      <c r="AO64" s="131" t="str">
        <f t="shared" si="11"/>
        <v>6-</v>
      </c>
      <c r="AP64" s="131" t="str">
        <f t="shared" si="11"/>
        <v>7-</v>
      </c>
      <c r="AQ64" s="131" t="str">
        <f t="shared" si="11"/>
        <v>7-</v>
      </c>
      <c r="AR64" s="131" t="str">
        <f t="shared" si="11"/>
        <v>8-</v>
      </c>
      <c r="AS64" s="131" t="str">
        <f t="shared" si="11"/>
        <v>9-</v>
      </c>
      <c r="AT64" s="131">
        <v>10</v>
      </c>
    </row>
    <row r="65" spans="2:55">
      <c r="B65" s="131" t="str">
        <f>IF(OR('Liste Armée'!E35="HF",'Liste Armée'!E35="MF",'Liste Armée'!E35="LF"),"infanterie",IF(OR('Liste Armée'!E35="KN",'Liste Armée'!E35="CAT",'Liste Armée'!E35="CV",'Liste Armée'!E35="LH",'Liste Armée'!E35="LCH",'Liste Armée'!E35="HCH",'Liste Armée'!E35="SCH",'Liste Armée'!E35="EL"),"montes",IF(OR('Liste Armée'!E35="WWG",Données!H48="WGA"),"WWG","Special")))</f>
        <v>Special</v>
      </c>
      <c r="I65" s="200"/>
      <c r="K65" s="308"/>
      <c r="L65" s="308"/>
      <c r="M65" s="308"/>
      <c r="N65" s="308"/>
      <c r="O65" s="308"/>
      <c r="P65" s="308"/>
      <c r="Q65" s="313"/>
      <c r="R65" s="292" t="s">
        <v>1211</v>
      </c>
      <c r="S65" s="308"/>
      <c r="T65" s="308"/>
      <c r="U65" s="308"/>
      <c r="V65" s="308"/>
      <c r="W65" s="308"/>
      <c r="X65" s="308"/>
      <c r="Y65" s="308"/>
      <c r="Z65" s="308"/>
      <c r="AA65" s="308"/>
      <c r="AB65" s="309"/>
      <c r="AC65" s="308"/>
      <c r="AD65" s="308"/>
      <c r="AE65" s="263">
        <v>15</v>
      </c>
      <c r="AF65" s="307" t="str">
        <f t="shared" si="10"/>
        <v>1-1-2-2-3-4-4-5-6-6-7-8-8-9-10</v>
      </c>
      <c r="AG65" s="131" t="str">
        <f t="shared" si="11"/>
        <v>1-</v>
      </c>
      <c r="AH65" s="131" t="str">
        <f t="shared" si="11"/>
        <v>1-</v>
      </c>
      <c r="AI65" s="131" t="str">
        <f t="shared" si="11"/>
        <v>2-</v>
      </c>
      <c r="AJ65" s="131" t="str">
        <f t="shared" si="11"/>
        <v>2-</v>
      </c>
      <c r="AK65" s="131" t="str">
        <f t="shared" si="11"/>
        <v>3-</v>
      </c>
      <c r="AL65" s="131" t="str">
        <f t="shared" si="11"/>
        <v>4-</v>
      </c>
      <c r="AM65" s="131" t="str">
        <f t="shared" si="11"/>
        <v>4-</v>
      </c>
      <c r="AN65" s="131" t="str">
        <f t="shared" si="11"/>
        <v>5-</v>
      </c>
      <c r="AO65" s="131" t="str">
        <f t="shared" si="11"/>
        <v>6-</v>
      </c>
      <c r="AP65" s="131" t="str">
        <f t="shared" si="11"/>
        <v>6-</v>
      </c>
      <c r="AQ65" s="131" t="str">
        <f t="shared" si="11"/>
        <v>7-</v>
      </c>
      <c r="AR65" s="131" t="str">
        <f t="shared" si="11"/>
        <v>8-</v>
      </c>
      <c r="AS65" s="131" t="str">
        <f t="shared" si="11"/>
        <v>8-</v>
      </c>
      <c r="AT65" s="131" t="str">
        <f t="shared" si="11"/>
        <v>9-</v>
      </c>
      <c r="AU65" s="131">
        <v>10</v>
      </c>
    </row>
    <row r="66" spans="2:55">
      <c r="B66" s="131" t="str">
        <f>IF(OR('Liste Armée'!E36="HF",'Liste Armée'!E36="MF",'Liste Armée'!E36="LF"),"infanterie",IF(OR('Liste Armée'!E36="KN",'Liste Armée'!E36="CAT",'Liste Armée'!E36="CV",'Liste Armée'!E36="LH",'Liste Armée'!E36="LCH",'Liste Armée'!E36="HCH",'Liste Armée'!E36="SCH",'Liste Armée'!E36="EL"),"montes",IF(OR('Liste Armée'!E36="WWG",Données!H49="WGA"),"WWG","Special")))</f>
        <v>Special</v>
      </c>
      <c r="I66" s="200"/>
      <c r="K66" s="308"/>
      <c r="L66" s="308"/>
      <c r="M66" s="308"/>
      <c r="N66" s="308"/>
      <c r="O66" s="308"/>
      <c r="P66" s="308"/>
      <c r="Q66" s="345" t="str">
        <f ca="1">VLOOKUP("Drilled",Zone_Traduction,ref_langue,FALSE)</f>
        <v>Drilled</v>
      </c>
      <c r="R66" s="311" t="str">
        <f ca="1">T51</f>
        <v>Defensive Spearmen</v>
      </c>
      <c r="S66" s="308"/>
      <c r="T66" s="308"/>
      <c r="U66" s="308"/>
      <c r="V66" s="308"/>
      <c r="W66" s="308"/>
      <c r="X66" s="308"/>
      <c r="Y66" s="308"/>
      <c r="Z66" s="308"/>
      <c r="AA66" s="308"/>
      <c r="AB66" s="308"/>
      <c r="AC66" s="308"/>
      <c r="AD66" s="308"/>
      <c r="AE66" s="263">
        <v>16</v>
      </c>
      <c r="AF66" s="307" t="str">
        <f t="shared" si="10"/>
        <v>1-1-2-2-3-3-4-5-5-6-6-7-8-8-9-10</v>
      </c>
      <c r="AG66" s="131" t="str">
        <f t="shared" si="11"/>
        <v>1-</v>
      </c>
      <c r="AH66" s="131" t="str">
        <f t="shared" si="11"/>
        <v>1-</v>
      </c>
      <c r="AI66" s="131" t="str">
        <f t="shared" si="11"/>
        <v>2-</v>
      </c>
      <c r="AJ66" s="131" t="str">
        <f t="shared" si="11"/>
        <v>2-</v>
      </c>
      <c r="AK66" s="131" t="str">
        <f t="shared" si="11"/>
        <v>3-</v>
      </c>
      <c r="AL66" s="131" t="str">
        <f t="shared" si="11"/>
        <v>3-</v>
      </c>
      <c r="AM66" s="131" t="str">
        <f t="shared" si="11"/>
        <v>4-</v>
      </c>
      <c r="AN66" s="131" t="str">
        <f t="shared" si="11"/>
        <v>5-</v>
      </c>
      <c r="AO66" s="131" t="str">
        <f t="shared" si="11"/>
        <v>5-</v>
      </c>
      <c r="AP66" s="131" t="str">
        <f t="shared" si="11"/>
        <v>6-</v>
      </c>
      <c r="AQ66" s="131" t="str">
        <f t="shared" si="11"/>
        <v>6-</v>
      </c>
      <c r="AR66" s="131" t="str">
        <f t="shared" si="11"/>
        <v>7-</v>
      </c>
      <c r="AS66" s="131" t="str">
        <f t="shared" si="11"/>
        <v>8-</v>
      </c>
      <c r="AT66" s="131" t="str">
        <f t="shared" si="11"/>
        <v>8-</v>
      </c>
      <c r="AU66" s="131" t="str">
        <f t="shared" si="11"/>
        <v>9-</v>
      </c>
      <c r="AV66" s="131">
        <v>10</v>
      </c>
    </row>
    <row r="67" spans="2:55">
      <c r="B67" s="131" t="str">
        <f>IF(OR('Liste Armée'!E37="HF",'Liste Armée'!E37="MF",'Liste Armée'!E37="LF"),"infanterie",IF(OR('Liste Armée'!E37="KN",'Liste Armée'!E37="CAT",'Liste Armée'!E37="CV",'Liste Armée'!E37="LH",'Liste Armée'!E37="LCH",'Liste Armée'!E37="HCH",'Liste Armée'!E37="SCH",'Liste Armée'!E37="EL"),"montes",IF(OR('Liste Armée'!E37="WWG",Données!H50="WGA"),"WWG","Special")))</f>
        <v>Special</v>
      </c>
      <c r="I67" s="200"/>
      <c r="K67" s="308"/>
      <c r="L67" s="308"/>
      <c r="M67" s="308"/>
      <c r="N67" s="308"/>
      <c r="O67" s="308"/>
      <c r="P67" s="308"/>
      <c r="Q67" s="311" t="str">
        <f ca="1">VLOOKUP("Undrilled",Zone_Traduction,ref_langue,FALSE)</f>
        <v>Undrilled</v>
      </c>
      <c r="R67" s="344" t="str">
        <f ca="1">T52</f>
        <v>Heavy Weapon</v>
      </c>
      <c r="S67" s="308"/>
      <c r="T67" s="308"/>
      <c r="U67" s="308"/>
      <c r="V67" s="308"/>
      <c r="W67" s="308"/>
      <c r="X67" s="308"/>
      <c r="Y67" s="308"/>
      <c r="Z67" s="308"/>
      <c r="AA67" s="308"/>
      <c r="AB67" s="308"/>
      <c r="AC67" s="308"/>
      <c r="AD67" s="308"/>
      <c r="AE67" s="263">
        <v>17</v>
      </c>
      <c r="AF67" s="307" t="str">
        <f t="shared" si="10"/>
        <v>1-1-2-2-3-3-4-4-5-6-6-7-7-8-8-9-10</v>
      </c>
      <c r="AG67" s="131" t="str">
        <f t="shared" si="11"/>
        <v>1-</v>
      </c>
      <c r="AH67" s="131" t="str">
        <f t="shared" si="11"/>
        <v>1-</v>
      </c>
      <c r="AI67" s="131" t="str">
        <f t="shared" si="11"/>
        <v>2-</v>
      </c>
      <c r="AJ67" s="131" t="str">
        <f t="shared" si="11"/>
        <v>2-</v>
      </c>
      <c r="AK67" s="131" t="str">
        <f t="shared" si="11"/>
        <v>3-</v>
      </c>
      <c r="AL67" s="131" t="str">
        <f t="shared" si="11"/>
        <v>3-</v>
      </c>
      <c r="AM67" s="131" t="str">
        <f t="shared" si="11"/>
        <v>4-</v>
      </c>
      <c r="AN67" s="131" t="str">
        <f t="shared" si="11"/>
        <v>4-</v>
      </c>
      <c r="AO67" s="131" t="str">
        <f t="shared" si="11"/>
        <v>5-</v>
      </c>
      <c r="AP67" s="131" t="str">
        <f t="shared" si="11"/>
        <v>6-</v>
      </c>
      <c r="AQ67" s="131" t="str">
        <f t="shared" si="11"/>
        <v>6-</v>
      </c>
      <c r="AR67" s="131" t="str">
        <f t="shared" si="11"/>
        <v>7-</v>
      </c>
      <c r="AS67" s="131" t="str">
        <f t="shared" si="11"/>
        <v>7-</v>
      </c>
      <c r="AT67" s="131" t="str">
        <f t="shared" si="11"/>
        <v>8-</v>
      </c>
      <c r="AU67" s="131" t="str">
        <f t="shared" si="11"/>
        <v>8-</v>
      </c>
      <c r="AV67" s="131" t="str">
        <f t="shared" si="11"/>
        <v>9-</v>
      </c>
      <c r="AW67" s="131">
        <v>10</v>
      </c>
    </row>
    <row r="68" spans="2:55">
      <c r="B68" s="131" t="str">
        <f>IF(OR('Liste Armée'!E38="HF",'Liste Armée'!E38="MF",'Liste Armée'!E38="LF"),"infanterie",IF(OR('Liste Armée'!E38="KN",'Liste Armée'!E38="CAT",'Liste Armée'!E38="CV",'Liste Armée'!E38="LH",'Liste Armée'!E38="LCH",'Liste Armée'!E38="HCH",'Liste Armée'!E38="SCH",'Liste Armée'!E38="EL"),"montes",IF(OR('Liste Armée'!E38="WWG",Données!H51="WGA"),"WWG","Special")))</f>
        <v>Special</v>
      </c>
      <c r="I68" s="200"/>
      <c r="K68" s="308"/>
      <c r="L68" s="308"/>
      <c r="M68" s="308"/>
      <c r="N68" s="308"/>
      <c r="O68" s="308"/>
      <c r="P68" s="308"/>
      <c r="Q68" s="308" t="s">
        <v>30</v>
      </c>
      <c r="R68" s="311" t="str">
        <f ca="1">T53</f>
        <v>Impact Foot Skilled Swordsmen</v>
      </c>
      <c r="S68" s="308"/>
      <c r="T68" s="308"/>
      <c r="U68" s="308"/>
      <c r="V68" s="308"/>
      <c r="W68" s="308"/>
      <c r="X68" s="308"/>
      <c r="Y68" s="308"/>
      <c r="Z68" s="308"/>
      <c r="AA68" s="308"/>
      <c r="AB68" s="308"/>
      <c r="AC68" s="308"/>
      <c r="AD68" s="308"/>
      <c r="AE68" s="263">
        <v>18</v>
      </c>
      <c r="AF68" s="307" t="str">
        <f t="shared" si="10"/>
        <v>1-1-1-2-2-3-4-4-5-5-6-6-7-7-8-8-9-10</v>
      </c>
      <c r="AG68" s="131" t="str">
        <f t="shared" si="11"/>
        <v>1-</v>
      </c>
      <c r="AH68" s="131" t="str">
        <f t="shared" si="11"/>
        <v>1-</v>
      </c>
      <c r="AI68" s="131" t="str">
        <f t="shared" si="11"/>
        <v>1-</v>
      </c>
      <c r="AJ68" s="131" t="str">
        <f t="shared" si="11"/>
        <v>2-</v>
      </c>
      <c r="AK68" s="131" t="str">
        <f t="shared" si="11"/>
        <v>2-</v>
      </c>
      <c r="AL68" s="131" t="str">
        <f t="shared" si="11"/>
        <v>3-</v>
      </c>
      <c r="AM68" s="131" t="str">
        <f t="shared" si="11"/>
        <v>4-</v>
      </c>
      <c r="AN68" s="131" t="str">
        <f t="shared" si="11"/>
        <v>4-</v>
      </c>
      <c r="AO68" s="131" t="str">
        <f t="shared" si="11"/>
        <v>5-</v>
      </c>
      <c r="AP68" s="131" t="str">
        <f t="shared" si="11"/>
        <v>5-</v>
      </c>
      <c r="AQ68" s="131" t="str">
        <f t="shared" si="11"/>
        <v>6-</v>
      </c>
      <c r="AR68" s="131" t="str">
        <f t="shared" si="11"/>
        <v>6-</v>
      </c>
      <c r="AS68" s="131" t="str">
        <f t="shared" si="11"/>
        <v>7-</v>
      </c>
      <c r="AT68" s="131" t="str">
        <f t="shared" si="11"/>
        <v>7-</v>
      </c>
      <c r="AU68" s="131" t="str">
        <f t="shared" si="11"/>
        <v>8-</v>
      </c>
      <c r="AV68" s="131" t="str">
        <f t="shared" si="11"/>
        <v>8-</v>
      </c>
      <c r="AW68" s="131" t="str">
        <f>CONCATENATE(AW44,$AF$28)</f>
        <v>9-</v>
      </c>
      <c r="AX68" s="131">
        <v>10</v>
      </c>
    </row>
    <row r="69" spans="2:55">
      <c r="B69" s="131" t="str">
        <f>IF(OR('Liste Armée'!E39="HF",'Liste Armée'!E39="MF",'Liste Armée'!E39="LF"),"infanterie",IF(OR('Liste Armée'!E39="KN",'Liste Armée'!E39="CAT",'Liste Armée'!E39="CV",'Liste Armée'!E39="LH",'Liste Armée'!E39="LCH",'Liste Armée'!E39="HCH",'Liste Armée'!E39="SCH",'Liste Armée'!E39="EL"),"montes",IF(OR('Liste Armée'!E39="WWG",Données!H52="WGA"),"WWG","Special")))</f>
        <v>Special</v>
      </c>
      <c r="I69" s="200"/>
      <c r="K69" s="308"/>
      <c r="L69" s="308"/>
      <c r="M69" s="308"/>
      <c r="N69" s="308"/>
      <c r="O69" s="308"/>
      <c r="P69" s="308"/>
      <c r="Q69" s="308"/>
      <c r="R69" s="345" t="str">
        <f ca="1">T54</f>
        <v>Impact Foot Swordsmen</v>
      </c>
      <c r="S69" s="308"/>
      <c r="T69" s="308"/>
      <c r="U69" s="308"/>
      <c r="V69" s="308"/>
      <c r="W69" s="308"/>
      <c r="X69" s="308"/>
      <c r="Y69" s="308"/>
      <c r="Z69" s="308"/>
      <c r="AA69" s="308"/>
      <c r="AB69" s="308"/>
      <c r="AC69" s="308"/>
      <c r="AD69" s="308"/>
      <c r="AE69" s="263">
        <v>19</v>
      </c>
      <c r="AF69" s="307" t="str">
        <f t="shared" si="10"/>
        <v>1-1-1-2-2-3-3-4-4-5-5-6-6-7-7-8-8-9-10</v>
      </c>
      <c r="AG69" s="131" t="str">
        <f t="shared" si="11"/>
        <v>1-</v>
      </c>
      <c r="AH69" s="131" t="str">
        <f t="shared" si="11"/>
        <v>1-</v>
      </c>
      <c r="AI69" s="131" t="str">
        <f t="shared" si="11"/>
        <v>1-</v>
      </c>
      <c r="AJ69" s="131" t="str">
        <f t="shared" si="11"/>
        <v>2-</v>
      </c>
      <c r="AK69" s="131" t="str">
        <f t="shared" si="11"/>
        <v>2-</v>
      </c>
      <c r="AL69" s="131" t="str">
        <f t="shared" si="11"/>
        <v>3-</v>
      </c>
      <c r="AM69" s="131" t="str">
        <f t="shared" si="11"/>
        <v>3-</v>
      </c>
      <c r="AN69" s="131" t="str">
        <f t="shared" si="11"/>
        <v>4-</v>
      </c>
      <c r="AO69" s="131" t="str">
        <f t="shared" si="11"/>
        <v>4-</v>
      </c>
      <c r="AP69" s="131" t="str">
        <f t="shared" si="11"/>
        <v>5-</v>
      </c>
      <c r="AQ69" s="131" t="str">
        <f t="shared" si="11"/>
        <v>5-</v>
      </c>
      <c r="AR69" s="131" t="str">
        <f t="shared" si="11"/>
        <v>6-</v>
      </c>
      <c r="AS69" s="131" t="str">
        <f t="shared" si="11"/>
        <v>6-</v>
      </c>
      <c r="AT69" s="131" t="str">
        <f t="shared" si="11"/>
        <v>7-</v>
      </c>
      <c r="AU69" s="131" t="str">
        <f t="shared" si="11"/>
        <v>7-</v>
      </c>
      <c r="AV69" s="131" t="str">
        <f t="shared" si="11"/>
        <v>8-</v>
      </c>
      <c r="AW69" s="131" t="str">
        <f>CONCATENATE(AW45,$AF$28)</f>
        <v>8-</v>
      </c>
      <c r="AX69" s="131" t="str">
        <f>CONCATENATE(AX45,$AF$28)</f>
        <v>9-</v>
      </c>
      <c r="AY69" s="131">
        <v>10</v>
      </c>
    </row>
    <row r="70" spans="2:55">
      <c r="B70" s="131" t="str">
        <f>IF(OR('Liste Armée'!E40="HF",'Liste Armée'!E40="MF",'Liste Armée'!E40="LF"),"infanterie",IF(OR('Liste Armée'!E40="KN",'Liste Armée'!E40="CAT",'Liste Armée'!E40="CV",'Liste Armée'!E40="LH",'Liste Armée'!E40="LCH",'Liste Armée'!E40="HCH",'Liste Armée'!E40="SCH",'Liste Armée'!E40="EL"),"montes",IF(OR('Liste Armée'!E40="WWG",Données!H53="WGA"),"WWG","Special")))</f>
        <v>Special</v>
      </c>
      <c r="K70" s="308"/>
      <c r="Q70" s="308"/>
      <c r="R70" s="311" t="str">
        <f ca="1">T55</f>
        <v>Light Spear Skilled Swordsmen</v>
      </c>
      <c r="AE70" s="263">
        <v>20</v>
      </c>
      <c r="AF70" s="307" t="str">
        <f t="shared" si="10"/>
        <v>1-1-1-2-2-3-3-4-4-5-5-6-6-7-7-8-8-9-9-10</v>
      </c>
      <c r="AG70" s="131" t="str">
        <f t="shared" si="11"/>
        <v>1-</v>
      </c>
      <c r="AH70" s="131" t="str">
        <f t="shared" si="11"/>
        <v>1-</v>
      </c>
      <c r="AI70" s="131" t="str">
        <f t="shared" si="11"/>
        <v>1-</v>
      </c>
      <c r="AJ70" s="131" t="str">
        <f t="shared" si="11"/>
        <v>2-</v>
      </c>
      <c r="AK70" s="131" t="str">
        <f t="shared" si="11"/>
        <v>2-</v>
      </c>
      <c r="AL70" s="131" t="str">
        <f t="shared" si="11"/>
        <v>3-</v>
      </c>
      <c r="AM70" s="131" t="str">
        <f t="shared" si="11"/>
        <v>3-</v>
      </c>
      <c r="AN70" s="131" t="str">
        <f t="shared" si="11"/>
        <v>4-</v>
      </c>
      <c r="AO70" s="131" t="str">
        <f t="shared" si="11"/>
        <v>4-</v>
      </c>
      <c r="AP70" s="131" t="str">
        <f t="shared" si="11"/>
        <v>5-</v>
      </c>
      <c r="AQ70" s="131" t="str">
        <f t="shared" si="11"/>
        <v>5-</v>
      </c>
      <c r="AR70" s="131" t="str">
        <f t="shared" si="11"/>
        <v>6-</v>
      </c>
      <c r="AS70" s="131" t="str">
        <f t="shared" si="11"/>
        <v>6-</v>
      </c>
      <c r="AT70" s="131" t="str">
        <f t="shared" si="11"/>
        <v>7-</v>
      </c>
      <c r="AU70" s="131" t="str">
        <f t="shared" si="11"/>
        <v>7-</v>
      </c>
      <c r="AV70" s="131" t="str">
        <f t="shared" si="11"/>
        <v>8-</v>
      </c>
      <c r="AW70" s="131" t="str">
        <f>CONCATENATE(AW46,$AF$28)</f>
        <v>8-</v>
      </c>
      <c r="AX70" s="131" t="str">
        <f>CONCATENATE(AX46,$AF$28)</f>
        <v>9-</v>
      </c>
      <c r="AY70" s="131" t="str">
        <f>CONCATENATE(AY46,$AF$28)</f>
        <v>9-</v>
      </c>
      <c r="AZ70" s="131">
        <v>10</v>
      </c>
    </row>
    <row r="71" spans="2:55">
      <c r="B71" s="131" t="str">
        <f>IF(OR('Liste Armée'!E41="HF",'Liste Armée'!E41="MF",'Liste Armée'!E41="LF"),"infanterie",IF(OR('Liste Armée'!E41="KN",'Liste Armée'!E41="CAT",'Liste Armée'!E41="CV",'Liste Armée'!E41="LH",'Liste Armée'!E41="LCH",'Liste Armée'!E41="HCH",'Liste Armée'!E41="SCH",'Liste Armée'!E41="EL"),"montes",IF(OR('Liste Armée'!E41="WWG",Données!H54="WGA"),"WWG","Special")))</f>
        <v>Special</v>
      </c>
      <c r="K71" s="308"/>
      <c r="L71" s="200"/>
      <c r="M71" s="200"/>
      <c r="N71" s="200"/>
      <c r="O71" s="200"/>
      <c r="P71" s="200"/>
      <c r="Q71" s="308"/>
      <c r="R71" s="311" t="str">
        <f ca="1">T47</f>
        <v>Light spear Swordsmen</v>
      </c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63">
        <v>21</v>
      </c>
      <c r="AF71" s="307" t="str">
        <f t="shared" si="10"/>
        <v>1-1-1-2-2-3-3-3-4-4-5-5-6-6-7-7-8-8-9-9-10</v>
      </c>
      <c r="AG71" s="131" t="str">
        <f t="shared" si="11"/>
        <v>1-</v>
      </c>
      <c r="AH71" s="131" t="str">
        <f t="shared" si="11"/>
        <v>1-</v>
      </c>
      <c r="AI71" s="131" t="str">
        <f t="shared" si="11"/>
        <v>1-</v>
      </c>
      <c r="AJ71" s="131" t="str">
        <f t="shared" si="11"/>
        <v>2-</v>
      </c>
      <c r="AK71" s="131" t="str">
        <f t="shared" si="11"/>
        <v>2-</v>
      </c>
      <c r="AL71" s="131" t="str">
        <f t="shared" si="11"/>
        <v>3-</v>
      </c>
      <c r="AM71" s="131" t="str">
        <f t="shared" si="11"/>
        <v>3-</v>
      </c>
      <c r="AN71" s="131" t="str">
        <f t="shared" si="11"/>
        <v>3-</v>
      </c>
      <c r="AO71" s="131" t="str">
        <f t="shared" si="11"/>
        <v>4-</v>
      </c>
      <c r="AP71" s="131" t="str">
        <f t="shared" si="11"/>
        <v>4-</v>
      </c>
      <c r="AQ71" s="131" t="str">
        <f t="shared" si="11"/>
        <v>5-</v>
      </c>
      <c r="AR71" s="131" t="str">
        <f t="shared" si="11"/>
        <v>5-</v>
      </c>
      <c r="AS71" s="131" t="str">
        <f t="shared" si="11"/>
        <v>6-</v>
      </c>
      <c r="AT71" s="131" t="str">
        <f t="shared" si="11"/>
        <v>6-</v>
      </c>
      <c r="AU71" s="131" t="str">
        <f t="shared" si="11"/>
        <v>7-</v>
      </c>
      <c r="AV71" s="131" t="str">
        <f t="shared" si="11"/>
        <v>7-</v>
      </c>
      <c r="AW71" s="131" t="str">
        <f>CONCATENATE(AW47,$AF$28)</f>
        <v>8-</v>
      </c>
      <c r="AX71" s="131" t="str">
        <f>CONCATENATE(AX47,$AF$28)</f>
        <v>8-</v>
      </c>
      <c r="AY71" s="131" t="str">
        <f>CONCATENATE(AY47,$AF$28)</f>
        <v>9-</v>
      </c>
      <c r="AZ71" s="131" t="str">
        <f>CONCATENATE(AZ47,$AF$28)</f>
        <v>9-</v>
      </c>
      <c r="BA71" s="131">
        <v>10</v>
      </c>
    </row>
    <row r="72" spans="2:55" ht="25.5">
      <c r="B72" s="131" t="str">
        <f>IF(OR('Liste Armée'!E42="HF",'Liste Armée'!E42="MF",'Liste Armée'!E42="LF"),"infanterie",IF(OR('Liste Armée'!E42="KN",'Liste Armée'!E42="CAT",'Liste Armée'!E42="CV",'Liste Armée'!E42="LH",'Liste Armée'!E42="LCH",'Liste Armée'!E42="HCH",'Liste Armée'!E42="SCH",'Liste Armée'!E42="EL"),"montes",IF(OR('Liste Armée'!E42="WWG",Données!H55="WGA"),"WWG","Special")))</f>
        <v>Special</v>
      </c>
      <c r="L72" s="200"/>
      <c r="M72" s="200"/>
      <c r="N72" s="200"/>
      <c r="O72" s="200"/>
      <c r="P72" s="200"/>
      <c r="Q72" s="308"/>
      <c r="R72" s="311" t="str">
        <f ca="1">T49</f>
        <v>Light Spear</v>
      </c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63">
        <v>22</v>
      </c>
      <c r="AF72" s="307" t="str">
        <f t="shared" si="10"/>
        <v>1-1-1-2-2-2-3-3-4-4-5-5-6-6-6-7-7-8-8-9-9-10</v>
      </c>
      <c r="AG72" s="131" t="str">
        <f t="shared" si="11"/>
        <v>1-</v>
      </c>
      <c r="AH72" s="131" t="str">
        <f t="shared" si="11"/>
        <v>1-</v>
      </c>
      <c r="AI72" s="131" t="str">
        <f t="shared" si="11"/>
        <v>1-</v>
      </c>
      <c r="AJ72" s="131" t="str">
        <f t="shared" si="11"/>
        <v>2-</v>
      </c>
      <c r="AK72" s="131" t="str">
        <f t="shared" si="11"/>
        <v>2-</v>
      </c>
      <c r="AL72" s="131" t="str">
        <f t="shared" si="11"/>
        <v>2-</v>
      </c>
      <c r="AM72" s="131" t="str">
        <f t="shared" si="11"/>
        <v>3-</v>
      </c>
      <c r="AN72" s="131" t="str">
        <f t="shared" si="11"/>
        <v>3-</v>
      </c>
      <c r="AO72" s="131" t="str">
        <f t="shared" si="11"/>
        <v>4-</v>
      </c>
      <c r="AP72" s="131" t="str">
        <f t="shared" si="11"/>
        <v>4-</v>
      </c>
      <c r="AQ72" s="131" t="str">
        <f t="shared" si="11"/>
        <v>5-</v>
      </c>
      <c r="AR72" s="131" t="str">
        <f t="shared" si="11"/>
        <v>5-</v>
      </c>
      <c r="AS72" s="131" t="str">
        <f t="shared" si="11"/>
        <v>6-</v>
      </c>
      <c r="AT72" s="131" t="str">
        <f t="shared" si="11"/>
        <v>6-</v>
      </c>
      <c r="AU72" s="131" t="str">
        <f t="shared" si="11"/>
        <v>6-</v>
      </c>
      <c r="AV72" s="131" t="str">
        <f t="shared" si="11"/>
        <v>7-</v>
      </c>
      <c r="AW72" s="131" t="str">
        <f>CONCATENATE(AW48,$AF$28)</f>
        <v>7-</v>
      </c>
      <c r="AX72" s="131" t="str">
        <f>CONCATENATE(AX48,$AF$28)</f>
        <v>8-</v>
      </c>
      <c r="AY72" s="131" t="str">
        <f>CONCATENATE(AY48,$AF$28)</f>
        <v>8-</v>
      </c>
      <c r="AZ72" s="131" t="str">
        <f>CONCATENATE(AZ48,$AF$28)</f>
        <v>9-</v>
      </c>
      <c r="BA72" s="131" t="str">
        <f>CONCATENATE(BA48,$AF$28)</f>
        <v>9-</v>
      </c>
      <c r="BB72" s="131">
        <v>10</v>
      </c>
    </row>
    <row r="73" spans="2:55" ht="24.75" customHeight="1">
      <c r="B73" s="131" t="str">
        <f>IF(OR('Liste Armée'!E43="HF",'Liste Armée'!E43="MF",'Liste Armée'!E43="LF"),"infanterie",IF(OR('Liste Armée'!E43="KN",'Liste Armée'!E43="CAT",'Liste Armée'!E43="CV",'Liste Armée'!E43="LH",'Liste Armée'!E43="LCH",'Liste Armée'!E43="HCH",'Liste Armée'!E43="SCH",'Liste Armée'!E43="EL"),"montes",IF(OR('Liste Armée'!E43="WWG",Données!H56="WGA"),"WWG","Special")))</f>
        <v>Special</v>
      </c>
      <c r="L73" s="200"/>
      <c r="M73" s="200"/>
      <c r="N73" s="200"/>
      <c r="O73" s="200"/>
      <c r="P73" s="200"/>
      <c r="Q73" s="308"/>
      <c r="R73" s="311" t="str">
        <f ca="1">T56</f>
        <v>Offensive Spearmen</v>
      </c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314">
        <v>23</v>
      </c>
      <c r="AF73" s="315" t="str">
        <f>CONCATENATE(AG73,AH73,AI73,AJ73,AK73,AL73,AM73,AN73,AO73,AP73,AQ73,AR73,AS73,AT73,AU73,AV73,AW73,AX73,AY73,AZ73,BA73,BB73,BC73)</f>
        <v>----------------------10</v>
      </c>
      <c r="AG73" s="131" t="str">
        <f t="shared" si="11"/>
        <v>-</v>
      </c>
      <c r="AH73" s="131" t="str">
        <f t="shared" si="11"/>
        <v>-</v>
      </c>
      <c r="AI73" s="131" t="str">
        <f t="shared" si="11"/>
        <v>-</v>
      </c>
      <c r="AJ73" s="131" t="str">
        <f t="shared" si="11"/>
        <v>-</v>
      </c>
      <c r="AK73" s="131" t="str">
        <f t="shared" si="11"/>
        <v>-</v>
      </c>
      <c r="AL73" s="131" t="str">
        <f t="shared" si="11"/>
        <v>-</v>
      </c>
      <c r="AM73" s="131" t="str">
        <f t="shared" si="11"/>
        <v>-</v>
      </c>
      <c r="AN73" s="131" t="str">
        <f t="shared" si="11"/>
        <v>-</v>
      </c>
      <c r="AO73" s="131" t="str">
        <f t="shared" si="11"/>
        <v>-</v>
      </c>
      <c r="AP73" s="131" t="str">
        <f t="shared" si="11"/>
        <v>-</v>
      </c>
      <c r="AQ73" s="131" t="str">
        <f t="shared" si="11"/>
        <v>-</v>
      </c>
      <c r="AR73" s="131" t="str">
        <f t="shared" si="11"/>
        <v>-</v>
      </c>
      <c r="AS73" s="131" t="str">
        <f t="shared" si="11"/>
        <v>-</v>
      </c>
      <c r="AT73" s="131" t="str">
        <f t="shared" si="11"/>
        <v>-</v>
      </c>
      <c r="AU73" s="131" t="str">
        <f t="shared" si="11"/>
        <v>-</v>
      </c>
      <c r="AV73" s="131" t="str">
        <f t="shared" si="11"/>
        <v>-</v>
      </c>
      <c r="AW73" s="131" t="str">
        <f t="shared" ref="AW73:BB73" si="12">CONCATENATE(AW49,$AF$28)</f>
        <v>-</v>
      </c>
      <c r="AX73" s="131" t="str">
        <f t="shared" si="12"/>
        <v>-</v>
      </c>
      <c r="AY73" s="131" t="str">
        <f t="shared" si="12"/>
        <v>-</v>
      </c>
      <c r="AZ73" s="131" t="str">
        <f t="shared" si="12"/>
        <v>-</v>
      </c>
      <c r="BA73" s="131" t="str">
        <f t="shared" si="12"/>
        <v>-</v>
      </c>
      <c r="BB73" s="131" t="str">
        <f t="shared" si="12"/>
        <v>-</v>
      </c>
      <c r="BC73" s="131">
        <v>10</v>
      </c>
    </row>
    <row r="74" spans="2:55" ht="12.75" customHeight="1">
      <c r="B74" s="131" t="str">
        <f>IF(OR('Liste Armée'!E44="HF",'Liste Armée'!E44="MF",'Liste Armée'!E44="LF"),"infanterie",IF(OR('Liste Armée'!E44="KN",'Liste Armée'!E44="CAT",'Liste Armée'!E44="CV",'Liste Armée'!E44="LH",'Liste Armée'!E44="LCH",'Liste Armée'!E44="HCH",'Liste Armée'!E44="SCH",'Liste Armée'!E44="EL"),"montes",IF(OR('Liste Armée'!E44="WWG",Données!H57="WGA"),"WWG","Special")))</f>
        <v>Special</v>
      </c>
      <c r="L74" s="200"/>
      <c r="M74" s="200"/>
      <c r="N74" s="200"/>
      <c r="O74" s="200"/>
      <c r="P74" s="200"/>
      <c r="Q74" s="308"/>
      <c r="R74" s="345" t="str">
        <f ca="1">T57</f>
        <v>Pike</v>
      </c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316"/>
    </row>
    <row r="75" spans="2:55" ht="12.75" customHeight="1">
      <c r="B75" s="131" t="str">
        <f>IF(OR('Liste Armée'!E45="HF",'Liste Armée'!E45="MF",'Liste Armée'!E45="LF"),"infanterie",IF(OR('Liste Armée'!E45="KN",'Liste Armée'!E45="CAT",'Liste Armée'!E45="CV",'Liste Armée'!E45="LH",'Liste Armée'!E45="LCH",'Liste Armée'!E45="HCH",'Liste Armée'!E45="SCH",'Liste Armée'!E45="EL"),"montes",IF(OR('Liste Armée'!E45="WWG",Données!H58="WGA"),"WWG","Special")))</f>
        <v>Special</v>
      </c>
      <c r="L75" s="200"/>
      <c r="M75" s="200"/>
      <c r="N75" s="200"/>
      <c r="O75" s="200"/>
      <c r="P75" s="200"/>
      <c r="Q75" s="308"/>
      <c r="R75" s="311" t="str">
        <f>T59</f>
        <v>Polearm</v>
      </c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316"/>
    </row>
    <row r="76" spans="2:55" ht="12.75" customHeight="1">
      <c r="B76" s="131" t="str">
        <f>IF(OR('Liste Armée'!E46="HF",'Liste Armée'!E46="MF",'Liste Armée'!E46="LF"),"infanterie",IF(OR('Liste Armée'!E46="KN",'Liste Armée'!E46="CAT",'Liste Armée'!E46="CV",'Liste Armée'!E46="LH",'Liste Armée'!E46="LCH",'Liste Armée'!E46="HCH",'Liste Armée'!E46="SCH",'Liste Armée'!E46="EL"),"montes",IF(OR('Liste Armée'!E46="WWG",Données!H59="WGA"),"WWG","Special")))</f>
        <v>Special</v>
      </c>
      <c r="L76" s="200"/>
      <c r="M76" s="200"/>
      <c r="N76" s="200"/>
      <c r="O76" s="200"/>
      <c r="P76" s="200"/>
      <c r="Q76" s="308"/>
      <c r="R76" s="311" t="str">
        <f ca="1">T58</f>
        <v>Skilled Swordsmen</v>
      </c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316"/>
    </row>
    <row r="77" spans="2:55" ht="12.75" customHeight="1">
      <c r="B77" s="131" t="str">
        <f>IF(OR('Liste Armée'!E47="HF",'Liste Armée'!E47="MF",'Liste Armée'!E47="LF"),"infanterie",IF(OR('Liste Armée'!E47="KN",'Liste Armée'!E47="CAT",'Liste Armée'!E47="CV",'Liste Armée'!E47="LH",'Liste Armée'!E47="LCH",'Liste Armée'!E47="HCH",'Liste Armée'!E47="SCH",'Liste Armée'!E47="EL"),"montes",IF(OR('Liste Armée'!E47="WWG",Données!H60="WGA"),"WWG","Special")))</f>
        <v>Special</v>
      </c>
      <c r="L77" s="200"/>
      <c r="M77" s="317"/>
      <c r="N77" s="200"/>
      <c r="O77" s="200"/>
      <c r="P77" s="200"/>
      <c r="Q77" s="308"/>
      <c r="R77" s="311" t="str">
        <f ca="1">T50</f>
        <v>Swordsmen</v>
      </c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316"/>
    </row>
    <row r="78" spans="2:55" ht="17.25" customHeight="1">
      <c r="B78" s="131" t="str">
        <f>IF(OR('Liste Armée'!E48="HF",'Liste Armée'!E48="MF",'Liste Armée'!E48="LF"),"infanterie",IF(OR('Liste Armée'!E48="KN",'Liste Armée'!E48="CAT",'Liste Armée'!E48="CV",'Liste Armée'!E48="LH",'Liste Armée'!E48="LCH",'Liste Armée'!E48="HCH",'Liste Armée'!E48="SCH",'Liste Armée'!E48="EL"),"montes",IF(OR('Liste Armée'!E48="WWG",Données!H61="WGA"),"WWG","Special")))</f>
        <v>Special</v>
      </c>
      <c r="L78" s="200"/>
      <c r="M78" s="318"/>
      <c r="N78" s="152"/>
      <c r="O78" s="200"/>
      <c r="P78" s="200"/>
      <c r="Q78" s="308"/>
      <c r="R78" s="311" t="s">
        <v>30</v>
      </c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316"/>
    </row>
    <row r="79" spans="2:55" ht="14.25" customHeight="1">
      <c r="B79" s="131" t="str">
        <f>IF(OR('Liste Armée'!E49="HF",'Liste Armée'!E49="MF",'Liste Armée'!E49="LF"),"infanterie",IF(OR('Liste Armée'!E49="KN",'Liste Armée'!E49="CAT",'Liste Armée'!E49="CV",'Liste Armée'!E49="LH",'Liste Armée'!E49="LCH",'Liste Armée'!E49="HCH",'Liste Armée'!E49="SCH",'Liste Armée'!E49="EL"),"montes",IF(OR('Liste Armée'!E49="WWG",Données!H62="WGA"),"WWG","Special")))</f>
        <v>Special</v>
      </c>
      <c r="L79" s="200"/>
      <c r="M79" s="318"/>
      <c r="N79" s="200"/>
      <c r="O79" s="200"/>
      <c r="P79" s="200"/>
      <c r="Q79" s="308"/>
      <c r="R79" s="311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316"/>
    </row>
    <row r="80" spans="2:55" ht="13.5" customHeight="1">
      <c r="B80" s="131" t="str">
        <f>IF(OR('Liste Armée'!E50="HF",'Liste Armée'!E50="MF",'Liste Armée'!E50="LF"),"infanterie",IF(OR('Liste Armée'!E50="KN",'Liste Armée'!E50="CAT",'Liste Armée'!E50="CV",'Liste Armée'!E50="LH",'Liste Armée'!E50="LCH",'Liste Armée'!E50="HCH",'Liste Armée'!E50="SCH",'Liste Armée'!E50="EL"),"montes",IF(OR('Liste Armée'!E50="WWG",Données!H63="WGA"),"WWG","Special")))</f>
        <v>Special</v>
      </c>
      <c r="L80" s="200"/>
      <c r="M80" s="318"/>
      <c r="N80" s="200"/>
      <c r="O80" s="200"/>
      <c r="P80" s="200"/>
      <c r="R80" s="345" t="s">
        <v>1212</v>
      </c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316"/>
    </row>
    <row r="81" spans="2:32" ht="13.5" customHeight="1">
      <c r="B81" s="131" t="str">
        <f>IF(OR('Liste Armée'!E51="HF",'Liste Armée'!E51="MF",'Liste Armée'!E51="LF"),"infanterie",IF(OR('Liste Armée'!E51="KN",'Liste Armée'!E51="CAT",'Liste Armée'!E51="CV",'Liste Armée'!E51="LH",'Liste Armée'!E51="LCH",'Liste Armée'!E51="HCH",'Liste Armée'!E51="SCH",'Liste Armée'!E51="EL"),"montes",IF(OR('Liste Armée'!E51="WWG",Données!H64="WGA"),"WWG","Special")))</f>
        <v>Special</v>
      </c>
      <c r="L81" s="200"/>
      <c r="M81" s="318"/>
      <c r="N81" s="200"/>
      <c r="O81" s="200"/>
      <c r="P81" s="200"/>
      <c r="Q81" s="200"/>
      <c r="R81" s="311" t="str">
        <f ca="1">T52</f>
        <v>Heavy Weapon</v>
      </c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316"/>
    </row>
    <row r="82" spans="2:32" ht="13.5" customHeight="1">
      <c r="B82" s="131" t="str">
        <f>IF(OR('Liste Armée'!E52="HF",'Liste Armée'!E52="MF",'Liste Armée'!E52="LF"),"infanterie",IF(OR('Liste Armée'!E52="KN",'Liste Armée'!E52="CAT",'Liste Armée'!E52="CV",'Liste Armée'!E52="LH",'Liste Armée'!E52="LCH",'Liste Armée'!E52="HCH",'Liste Armée'!E52="SCH",'Liste Armée'!E52="EL"),"montes",IF(OR('Liste Armée'!E52="WWG",Données!H65="WGA"),"WWG","Special")))</f>
        <v>Special</v>
      </c>
      <c r="L82" s="200"/>
      <c r="M82" s="318"/>
      <c r="N82" s="200"/>
      <c r="O82" s="200"/>
      <c r="P82" s="200"/>
      <c r="Q82" s="200"/>
      <c r="R82" s="313" t="s">
        <v>30</v>
      </c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316"/>
    </row>
    <row r="83" spans="2:32" ht="13.5" customHeight="1">
      <c r="B83" s="131" t="str">
        <f>IF(OR('Liste Armée'!E53="HF",'Liste Armée'!E53="MF",'Liste Armée'!E53="LF"),"infanterie",IF(OR('Liste Armée'!E53="KN",'Liste Armée'!E53="CAT",'Liste Armée'!E53="CV",'Liste Armée'!E53="LH",'Liste Armée'!E53="LCH",'Liste Armée'!E53="HCH",'Liste Armée'!E53="SCH",'Liste Armée'!E53="EL"),"montes",IF(OR('Liste Armée'!E53="WWG",Données!H66="WGA"),"WWG","Special")))</f>
        <v>Special</v>
      </c>
      <c r="L83" s="200"/>
      <c r="M83" s="37"/>
      <c r="N83" s="200"/>
      <c r="O83" s="200"/>
      <c r="P83" s="200"/>
      <c r="Q83" s="200"/>
      <c r="R83" s="313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316"/>
    </row>
    <row r="84" spans="2:32" ht="13.5" customHeight="1">
      <c r="L84" s="200"/>
      <c r="M84" s="37"/>
      <c r="N84" s="200"/>
      <c r="O84" s="200"/>
      <c r="P84" s="200"/>
      <c r="Q84" s="200"/>
      <c r="R84" s="313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316"/>
    </row>
    <row r="85" spans="2:32">
      <c r="M85" s="37"/>
      <c r="Q85" s="200"/>
      <c r="R85" s="313"/>
    </row>
    <row r="86" spans="2:32" ht="12.75" customHeight="1">
      <c r="C86" s="319" t="s">
        <v>30</v>
      </c>
      <c r="D86" s="23" t="str">
        <f ca="1">VLOOKUP("Unprotected",Zone_Traduction,ref_langue,FALSE)</f>
        <v>Unprotected</v>
      </c>
      <c r="E86" s="12" t="str">
        <f ca="1">VLOOKUP("Elite",Zone_Traduction,ref_langue,FALSE)</f>
        <v>Elite</v>
      </c>
      <c r="F86" s="15" t="str">
        <f ca="1">VLOOKUP("Drilled",Zone_Traduction,ref_langue,FALSE)</f>
        <v>Drilled</v>
      </c>
      <c r="G86" s="15" t="s">
        <v>30</v>
      </c>
      <c r="H86" s="22" t="s">
        <v>30</v>
      </c>
      <c r="I86" s="44" t="str">
        <f ca="1">VLOOKUP("Yes",Zone_Traduction,ref_langue,FALSE)</f>
        <v>Yes</v>
      </c>
      <c r="L86" s="22" t="s">
        <v>47</v>
      </c>
      <c r="M86" s="37"/>
      <c r="Q86" s="200"/>
      <c r="R86" s="313"/>
    </row>
    <row r="87" spans="2:32" ht="12.75" customHeight="1">
      <c r="C87" s="43" t="s">
        <v>9</v>
      </c>
      <c r="D87" s="24" t="str">
        <f ca="1">VLOOKUP("Protected",Zone_Traduction,ref_langue,FALSE)</f>
        <v>Protected</v>
      </c>
      <c r="E87" s="13" t="str">
        <f ca="1">VLOOKUP("Superior",Zone_Traduction,ref_langue,FALSE)</f>
        <v>Superior</v>
      </c>
      <c r="F87" s="7" t="str">
        <f ca="1">VLOOKUP("Undrilled",Zone_Traduction,ref_langue,FALSE)</f>
        <v>Undrilled</v>
      </c>
      <c r="G87" s="7" t="str">
        <f ca="1">VLOOKUP("Bow",Zone_Traduction,ref_langue,FALSE)</f>
        <v>Bow</v>
      </c>
      <c r="H87" s="13" t="s">
        <v>692</v>
      </c>
      <c r="I87" s="45" t="str">
        <f ca="1">VLOOKUP("No",Zone_Traduction,ref_langue,FALSE)</f>
        <v>No</v>
      </c>
      <c r="L87" s="13" t="str">
        <f ca="1">VLOOKUP("Agricultural",Zone_Traduction,ref_langue,FALSE)</f>
        <v>Agricultural</v>
      </c>
      <c r="M87" s="37"/>
      <c r="Q87" s="319" t="s">
        <v>30</v>
      </c>
    </row>
    <row r="88" spans="2:32">
      <c r="C88" s="43" t="s">
        <v>8</v>
      </c>
      <c r="D88" s="24" t="str">
        <f ca="1">VLOOKUP("Armoured",Zone_Traduction,ref_langue,FALSE)</f>
        <v>Armoured</v>
      </c>
      <c r="E88" s="13" t="str">
        <f ca="1">VLOOKUP("Average",Zone_Traduction,ref_langue,FALSE)</f>
        <v>Average</v>
      </c>
      <c r="F88" s="10" t="s">
        <v>30</v>
      </c>
      <c r="G88" s="7" t="str">
        <f ca="1">VLOOKUP("Bw*",Zone_Traduction,ref_langue,FALSE)</f>
        <v>Bw*</v>
      </c>
      <c r="H88" s="14" t="s">
        <v>693</v>
      </c>
      <c r="I88" s="37"/>
      <c r="J88" s="297" t="s">
        <v>30</v>
      </c>
      <c r="K88" s="152"/>
      <c r="L88" s="13" t="str">
        <f ca="1">VLOOKUP("Desert",Zone_Traduction,ref_langue,FALSE)</f>
        <v>Desert</v>
      </c>
      <c r="M88" s="37"/>
      <c r="Q88" s="13" t="str">
        <f ca="1">T51</f>
        <v>Defensive Spearmen</v>
      </c>
    </row>
    <row r="89" spans="2:32">
      <c r="C89" s="43" t="s">
        <v>7</v>
      </c>
      <c r="D89" s="24" t="str">
        <f ca="1">VLOOKUP("Heavily armoured",Zone_Traduction,ref_langue,FALSE)</f>
        <v>Heavily Armoured</v>
      </c>
      <c r="E89" s="13" t="str">
        <f ca="1">VLOOKUP("Poor",Zone_Traduction,ref_langue,FALSE)</f>
        <v>Poor</v>
      </c>
      <c r="F89" s="127"/>
      <c r="G89" s="13" t="str">
        <f ca="1">VLOOKUP("Crossbow",Zone_Traduction,ref_langue,FALSE)</f>
        <v>Crossbow</v>
      </c>
      <c r="H89" s="37"/>
      <c r="I89" s="37"/>
      <c r="J89" s="13" t="str">
        <f ca="1">VLOOKUP("Camelry",Zone_Traduction,ref_langue,FALSE)</f>
        <v>Camelry</v>
      </c>
      <c r="K89" s="152"/>
      <c r="L89" s="13" t="str">
        <f ca="1">VLOOKUP("Developed",Zone_Traduction,ref_langue,FALSE)</f>
        <v>Developed</v>
      </c>
      <c r="M89" s="37"/>
      <c r="Q89" s="13" t="str">
        <f ca="1">T52</f>
        <v>Heavy Weapon</v>
      </c>
    </row>
    <row r="90" spans="2:32">
      <c r="C90" s="13" t="s">
        <v>310</v>
      </c>
      <c r="D90" s="25" t="s">
        <v>30</v>
      </c>
      <c r="E90" s="14" t="s">
        <v>30</v>
      </c>
      <c r="F90" s="127"/>
      <c r="G90" s="13" t="str">
        <f ca="1">VLOOKUP("Firearm",Zone_Traduction,ref_langue,FALSE)</f>
        <v>Firearm</v>
      </c>
      <c r="H90" s="37"/>
      <c r="I90" s="37"/>
      <c r="J90" s="14" t="str">
        <f ca="1">VLOOKUP("Port Def.",Zone_Traduction,ref_langue,FALSE)</f>
        <v>Port Def.</v>
      </c>
      <c r="K90" s="152"/>
      <c r="L90" s="13" t="str">
        <f ca="1">VLOOKUP("Hilly",Zone_Traduction,ref_langue,FALSE)</f>
        <v>Hilly</v>
      </c>
      <c r="M90" s="320"/>
      <c r="Q90" s="13" t="str">
        <f ca="1">T53</f>
        <v>Impact Foot Skilled Swordsmen</v>
      </c>
    </row>
    <row r="91" spans="2:32" ht="12.75" customHeight="1">
      <c r="C91" s="13" t="s">
        <v>10</v>
      </c>
      <c r="D91" s="127"/>
      <c r="E91" s="127"/>
      <c r="F91" s="127"/>
      <c r="G91" s="13" t="str">
        <f ca="1">VLOOKUP("Heavy artillery",Zone_Traduction,ref_langue,FALSE)</f>
        <v>Heavy Artillery</v>
      </c>
      <c r="H91" s="37"/>
      <c r="I91" s="37"/>
      <c r="J91" s="37"/>
      <c r="K91" s="152"/>
      <c r="L91" s="13" t="str">
        <f ca="1">VLOOKUP("Mountain",Zone_Traduction,ref_langue,FALSE)</f>
        <v>Mountain</v>
      </c>
      <c r="M91" s="320"/>
      <c r="Q91" s="13" t="str">
        <f ca="1">T54</f>
        <v>Impact Foot Swordsmen</v>
      </c>
    </row>
    <row r="92" spans="2:32" ht="12.75" customHeight="1">
      <c r="C92" s="13" t="s">
        <v>659</v>
      </c>
      <c r="D92" s="127"/>
      <c r="E92" s="127"/>
      <c r="F92" s="127"/>
      <c r="G92" s="13" t="str">
        <f ca="1">VLOOKUP("Javelins",Zone_Traduction,ref_langue,FALSE)</f>
        <v>Javelins</v>
      </c>
      <c r="H92" s="37"/>
      <c r="I92" s="37"/>
      <c r="K92" s="152"/>
      <c r="L92" s="13" t="str">
        <f ca="1">VLOOKUP("Steppe",Zone_Traduction,ref_langue,FALSE)</f>
        <v>Steppe</v>
      </c>
      <c r="M92" s="320"/>
      <c r="Q92" s="13" t="str">
        <f ca="1">T46</f>
        <v>Lancer Swordsmen</v>
      </c>
    </row>
    <row r="93" spans="2:32" ht="12.75" customHeight="1">
      <c r="C93" s="13" t="s">
        <v>209</v>
      </c>
      <c r="D93" s="127"/>
      <c r="E93" s="127"/>
      <c r="F93" s="127"/>
      <c r="G93" s="13" t="str">
        <f ca="1">VLOOKUP("Light artillery",Zone_Traduction,ref_langue,FALSE)</f>
        <v>Light Artillery</v>
      </c>
      <c r="H93" s="37"/>
      <c r="I93" s="127"/>
      <c r="K93" s="152"/>
      <c r="L93" s="13" t="str">
        <f ca="1">VLOOKUP("Tropical",Zone_Traduction,ref_langue,FALSE)</f>
        <v>Tropical</v>
      </c>
      <c r="M93" s="320"/>
      <c r="Q93" s="13" t="str">
        <f ca="1">T49</f>
        <v>Light Spear</v>
      </c>
    </row>
    <row r="94" spans="2:32" ht="12.75" customHeight="1">
      <c r="C94" s="13" t="s">
        <v>660</v>
      </c>
      <c r="D94" s="127"/>
      <c r="E94" s="127"/>
      <c r="F94" s="127"/>
      <c r="G94" s="13" t="str">
        <f ca="1">VLOOKUP("Longbow",Zone_Traduction,ref_langue,FALSE)</f>
        <v>Longbow</v>
      </c>
      <c r="H94" s="127"/>
      <c r="I94" s="127"/>
      <c r="J94" s="292"/>
      <c r="K94" s="152"/>
      <c r="L94" s="14" t="str">
        <f ca="1">VLOOKUP("Woodland",Zone_Traduction,ref_langue,FALSE)</f>
        <v>Woodland</v>
      </c>
      <c r="M94" s="320"/>
      <c r="Q94" s="13" t="str">
        <f ca="1">T55</f>
        <v>Light Spear Skilled Swordsmen</v>
      </c>
    </row>
    <row r="95" spans="2:32" ht="12.75" customHeight="1">
      <c r="C95" s="13" t="s">
        <v>203</v>
      </c>
      <c r="D95" s="127"/>
      <c r="E95" s="127"/>
      <c r="F95" s="127"/>
      <c r="G95" s="14" t="str">
        <f ca="1">VLOOKUP("Sling",Zone_Traduction,ref_langue,FALSE)</f>
        <v>Sling</v>
      </c>
      <c r="H95" s="127"/>
      <c r="I95" s="127"/>
      <c r="J95" s="292"/>
      <c r="K95" s="152"/>
      <c r="L95" s="127"/>
      <c r="M95" s="320"/>
      <c r="Q95" s="13" t="str">
        <f ca="1">T47</f>
        <v>Light spear Swordsmen</v>
      </c>
    </row>
    <row r="96" spans="2:32" ht="12.75" customHeight="1">
      <c r="C96" s="13" t="s">
        <v>202</v>
      </c>
      <c r="D96" s="127"/>
      <c r="E96" s="127"/>
      <c r="F96" s="127"/>
      <c r="G96" s="127"/>
      <c r="H96" s="127"/>
      <c r="I96" s="127"/>
      <c r="J96" s="292"/>
      <c r="K96" s="152"/>
      <c r="L96" s="127"/>
      <c r="M96" s="320"/>
      <c r="Q96" s="13" t="str">
        <f ca="1">T56</f>
        <v>Offensive Spearmen</v>
      </c>
    </row>
    <row r="97" spans="1:33" ht="12.75" customHeight="1">
      <c r="C97" s="13" t="s">
        <v>204</v>
      </c>
      <c r="D97" s="127"/>
      <c r="E97" s="127"/>
      <c r="F97" s="127"/>
      <c r="G97" s="127"/>
      <c r="H97" s="127"/>
      <c r="I97" s="127"/>
      <c r="J97" s="297" t="s">
        <v>30</v>
      </c>
      <c r="K97" s="321">
        <v>0</v>
      </c>
      <c r="L97" s="127"/>
      <c r="M97" s="320"/>
      <c r="Q97" s="13" t="str">
        <f ca="1">T57</f>
        <v>Pike</v>
      </c>
    </row>
    <row r="98" spans="1:33" ht="12.75" customHeight="1">
      <c r="C98" s="13" t="s">
        <v>11</v>
      </c>
      <c r="D98" s="127"/>
      <c r="E98" s="127"/>
      <c r="F98" s="127"/>
      <c r="G98" s="127"/>
      <c r="H98" s="127"/>
      <c r="I98" s="127"/>
      <c r="J98" s="299" t="s">
        <v>690</v>
      </c>
      <c r="K98" s="322">
        <v>40</v>
      </c>
      <c r="L98" s="127"/>
      <c r="Q98" s="323" t="str">
        <f>T59</f>
        <v>Polearm</v>
      </c>
    </row>
    <row r="99" spans="1:33" ht="12.75" customHeight="1">
      <c r="A99" s="133"/>
      <c r="B99" s="324"/>
      <c r="C99" s="13" t="s">
        <v>205</v>
      </c>
      <c r="D99" s="127"/>
      <c r="E99" s="127"/>
      <c r="F99" s="127"/>
      <c r="G99" s="127"/>
      <c r="H99" s="127"/>
      <c r="I99" s="127"/>
      <c r="J99" s="299" t="s">
        <v>1248</v>
      </c>
      <c r="K99" s="322">
        <v>80</v>
      </c>
      <c r="L99" s="127"/>
      <c r="Q99" s="13" t="str">
        <f ca="1">T58</f>
        <v>Skilled Swordsmen</v>
      </c>
    </row>
    <row r="100" spans="1:33" ht="12.75" customHeight="1">
      <c r="A100" s="133"/>
      <c r="B100" s="324"/>
      <c r="C100" s="13" t="s">
        <v>206</v>
      </c>
      <c r="D100" s="127"/>
      <c r="E100" s="127"/>
      <c r="F100" s="127"/>
      <c r="G100" s="325"/>
      <c r="H100" s="324"/>
      <c r="I100" s="127"/>
      <c r="J100" s="302" t="s">
        <v>691</v>
      </c>
      <c r="K100" s="326">
        <v>30</v>
      </c>
      <c r="L100" s="127"/>
      <c r="Q100" s="14" t="str">
        <f ca="1">T50</f>
        <v>Swordsmen</v>
      </c>
    </row>
    <row r="101" spans="1:33" ht="12.75" customHeight="1">
      <c r="A101" s="133"/>
      <c r="B101" s="324"/>
      <c r="C101" s="14" t="s">
        <v>207</v>
      </c>
      <c r="D101" s="127"/>
      <c r="E101" s="127"/>
      <c r="F101" s="127"/>
      <c r="G101" s="127"/>
      <c r="H101" s="127"/>
      <c r="I101" s="127"/>
      <c r="J101" s="292"/>
      <c r="K101" s="152"/>
      <c r="L101" s="127"/>
    </row>
    <row r="102" spans="1:33" ht="12.75" customHeight="1">
      <c r="C102" s="324"/>
      <c r="D102" s="127"/>
      <c r="E102" s="127"/>
      <c r="F102" s="127"/>
      <c r="G102" s="127"/>
      <c r="H102" s="127"/>
      <c r="I102" s="127"/>
      <c r="J102" s="292" t="s">
        <v>1245</v>
      </c>
      <c r="K102" s="152">
        <v>40</v>
      </c>
      <c r="L102" s="127"/>
    </row>
    <row r="103" spans="1:33" ht="12.75" customHeight="1">
      <c r="C103" s="324"/>
      <c r="D103" s="127"/>
      <c r="E103" s="127"/>
      <c r="F103" s="127"/>
      <c r="G103" s="127"/>
      <c r="H103" s="127"/>
      <c r="I103" s="127"/>
      <c r="J103" s="292" t="s">
        <v>1246</v>
      </c>
      <c r="K103" s="152">
        <v>80</v>
      </c>
      <c r="L103" s="127"/>
    </row>
    <row r="104" spans="1:33" ht="12.75" customHeight="1">
      <c r="C104" s="324"/>
      <c r="D104" s="127"/>
      <c r="E104" s="127"/>
      <c r="F104" s="127"/>
      <c r="G104" s="127"/>
      <c r="H104" s="127"/>
      <c r="I104" s="127"/>
      <c r="J104" s="292" t="s">
        <v>1247</v>
      </c>
      <c r="K104" s="152">
        <v>30</v>
      </c>
      <c r="L104" s="127"/>
    </row>
    <row r="105" spans="1:33" ht="12.75" customHeight="1">
      <c r="C105" s="37"/>
      <c r="D105" s="127"/>
      <c r="E105" s="127"/>
      <c r="F105" s="127"/>
      <c r="G105" s="127"/>
      <c r="H105" s="127"/>
      <c r="I105" s="127"/>
      <c r="J105" s="292"/>
      <c r="K105" s="152"/>
      <c r="L105" s="127"/>
    </row>
    <row r="106" spans="1:33" ht="12.75" customHeight="1">
      <c r="C106" s="327"/>
      <c r="J106" s="292"/>
      <c r="K106" s="152"/>
    </row>
    <row r="107" spans="1:33" ht="12.75" customHeight="1">
      <c r="B107" s="328" t="s">
        <v>324</v>
      </c>
      <c r="C107" s="329">
        <v>0</v>
      </c>
      <c r="D107" s="330">
        <v>1</v>
      </c>
      <c r="E107" s="331">
        <v>2</v>
      </c>
      <c r="F107" s="331">
        <v>3</v>
      </c>
      <c r="G107" s="332">
        <v>4</v>
      </c>
      <c r="H107" s="332">
        <v>6</v>
      </c>
      <c r="I107" s="332">
        <v>8</v>
      </c>
      <c r="J107" s="332">
        <v>9</v>
      </c>
      <c r="K107" s="292"/>
      <c r="L107" s="152"/>
      <c r="AF107" s="131"/>
      <c r="AG107" s="203"/>
    </row>
    <row r="108" spans="1:33" ht="12.75" customHeight="1">
      <c r="B108" s="7" t="str">
        <f ca="1">VLOOKUP("Elite",Zone_Traduction,ref_langue,FALSE)</f>
        <v>Elite</v>
      </c>
      <c r="C108" s="333" t="s">
        <v>30</v>
      </c>
      <c r="D108" s="334"/>
      <c r="E108" s="335">
        <v>2</v>
      </c>
      <c r="F108" s="335">
        <v>2</v>
      </c>
      <c r="G108" s="334">
        <v>3</v>
      </c>
      <c r="H108" s="334">
        <v>4</v>
      </c>
      <c r="I108" s="334">
        <v>5</v>
      </c>
      <c r="J108" s="334">
        <v>6</v>
      </c>
      <c r="K108" s="199"/>
      <c r="L108" s="200"/>
      <c r="AF108" s="131"/>
      <c r="AG108" s="203"/>
    </row>
    <row r="109" spans="1:33" ht="12.75" customHeight="1">
      <c r="B109" s="7" t="str">
        <f ca="1">VLOOKUP("Superior",Zone_Traduction,ref_langue,FALSE)</f>
        <v>Superior</v>
      </c>
      <c r="C109" s="333" t="s">
        <v>30</v>
      </c>
      <c r="D109" s="334"/>
      <c r="E109" s="8">
        <v>2</v>
      </c>
      <c r="F109" s="8">
        <v>2</v>
      </c>
      <c r="G109" s="334">
        <v>3</v>
      </c>
      <c r="H109" s="334">
        <v>4</v>
      </c>
      <c r="I109" s="334">
        <v>5</v>
      </c>
      <c r="J109" s="334">
        <v>5</v>
      </c>
      <c r="K109" s="332">
        <v>10</v>
      </c>
      <c r="L109" s="336">
        <v>12</v>
      </c>
      <c r="AF109" s="131"/>
      <c r="AG109" s="203"/>
    </row>
    <row r="110" spans="1:33" ht="12.75" customHeight="1">
      <c r="B110" s="7" t="str">
        <f ca="1">VLOOKUP("Average",Zone_Traduction,ref_langue,FALSE)</f>
        <v>Average</v>
      </c>
      <c r="C110" s="333" t="s">
        <v>30</v>
      </c>
      <c r="D110" s="334"/>
      <c r="E110" s="9">
        <v>1</v>
      </c>
      <c r="F110" s="9">
        <v>2</v>
      </c>
      <c r="G110" s="334">
        <v>2</v>
      </c>
      <c r="H110" s="334">
        <v>3</v>
      </c>
      <c r="I110" s="334">
        <v>4</v>
      </c>
      <c r="J110" s="334">
        <v>4</v>
      </c>
      <c r="K110" s="334">
        <v>7</v>
      </c>
      <c r="L110" s="216">
        <v>8</v>
      </c>
      <c r="AF110" s="131"/>
      <c r="AG110" s="203"/>
    </row>
    <row r="111" spans="1:33" ht="12.75" customHeight="1">
      <c r="B111" s="7" t="str">
        <f ca="1">VLOOKUP("Poor",Zone_Traduction,ref_langue,FALSE)</f>
        <v>Poor</v>
      </c>
      <c r="C111" s="333" t="s">
        <v>30</v>
      </c>
      <c r="D111" s="334"/>
      <c r="E111" s="334">
        <v>1</v>
      </c>
      <c r="F111" s="334">
        <v>1</v>
      </c>
      <c r="G111" s="334">
        <v>2</v>
      </c>
      <c r="H111" s="334">
        <v>2</v>
      </c>
      <c r="I111" s="334">
        <v>3</v>
      </c>
      <c r="J111" s="334">
        <v>3</v>
      </c>
      <c r="K111" s="334">
        <v>6</v>
      </c>
      <c r="L111" s="216">
        <v>7</v>
      </c>
      <c r="AF111" s="131"/>
      <c r="AG111" s="203"/>
    </row>
    <row r="112" spans="1:33" ht="12.75" customHeight="1">
      <c r="B112" s="11" t="s">
        <v>30</v>
      </c>
      <c r="C112" s="333" t="s">
        <v>30</v>
      </c>
      <c r="D112" s="39" t="s">
        <v>30</v>
      </c>
      <c r="E112" s="337">
        <v>0</v>
      </c>
      <c r="F112" s="337"/>
      <c r="G112" s="337">
        <v>0</v>
      </c>
      <c r="H112" s="337">
        <v>0</v>
      </c>
      <c r="I112" s="337">
        <v>0</v>
      </c>
      <c r="J112" s="338">
        <v>0</v>
      </c>
      <c r="K112" s="334">
        <v>5</v>
      </c>
      <c r="L112" s="216">
        <v>5</v>
      </c>
      <c r="AF112" s="131"/>
      <c r="AG112" s="203"/>
    </row>
    <row r="113" spans="3:11" ht="12.75" customHeight="1">
      <c r="J113" s="334">
        <v>4</v>
      </c>
      <c r="K113" s="216">
        <v>4</v>
      </c>
    </row>
    <row r="114" spans="3:11" ht="12.75" customHeight="1">
      <c r="J114" s="337">
        <v>0</v>
      </c>
      <c r="K114" s="339">
        <v>0</v>
      </c>
    </row>
    <row r="118" spans="3:11" ht="12.75" customHeight="1">
      <c r="C118" s="340"/>
      <c r="D118" s="341"/>
    </row>
    <row r="119" spans="3:11" ht="12.75" customHeight="1">
      <c r="C119" s="225"/>
      <c r="D119" s="341"/>
    </row>
    <row r="120" spans="3:11" ht="12.75" customHeight="1">
      <c r="C120" s="225"/>
      <c r="D120" s="341"/>
    </row>
    <row r="121" spans="3:11" ht="12.75" customHeight="1">
      <c r="C121" s="225"/>
      <c r="D121" s="342"/>
      <c r="E121" s="225"/>
      <c r="F121" s="225"/>
    </row>
    <row r="122" spans="3:11" ht="12.75" customHeight="1">
      <c r="C122" s="225"/>
      <c r="D122" s="342"/>
      <c r="E122" s="225"/>
      <c r="F122" s="225"/>
    </row>
    <row r="123" spans="3:11" ht="12.75" customHeight="1">
      <c r="D123" s="341"/>
    </row>
    <row r="124" spans="3:11" ht="12.75" customHeight="1">
      <c r="D124" s="341"/>
    </row>
    <row r="125" spans="3:11" ht="12.75" customHeight="1">
      <c r="D125" s="341"/>
    </row>
    <row r="126" spans="3:11" ht="12.75" customHeight="1">
      <c r="D126" s="343"/>
    </row>
  </sheetData>
  <sheetProtection password="CC53" sheet="1" objects="1" scenarios="1"/>
  <sortState ref="J97:K100">
    <sortCondition ref="J97:J100"/>
  </sortState>
  <phoneticPr fontId="0" type="noConversion"/>
  <dataValidations disablePrompts="1" count="1">
    <dataValidation type="list" allowBlank="1" showInputMessage="1" showErrorMessage="1" sqref="B2">
      <formula1>Language_choices</formula1>
    </dataValidation>
  </dataValidation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12"/>
  <sheetViews>
    <sheetView zoomScale="90" zoomScaleNormal="90" workbookViewId="0">
      <pane ySplit="1" topLeftCell="A2" activePane="bottomLeft" state="frozen"/>
      <selection pane="bottomLeft" activeCell="C12" sqref="C12"/>
    </sheetView>
  </sheetViews>
  <sheetFormatPr defaultColWidth="11.42578125" defaultRowHeight="15"/>
  <cols>
    <col min="1" max="1" width="23.7109375" style="34" bestFit="1" customWidth="1"/>
    <col min="2" max="2" width="23.140625" style="29" customWidth="1"/>
    <col min="3" max="3" width="22.7109375" style="29" customWidth="1"/>
    <col min="4" max="4" width="31.28515625" style="29" bestFit="1" customWidth="1"/>
    <col min="5" max="5" width="52.7109375" style="29" bestFit="1" customWidth="1"/>
    <col min="6" max="16384" width="11.42578125" style="29"/>
  </cols>
  <sheetData>
    <row r="1" spans="1:5" ht="18">
      <c r="A1" s="33" t="s">
        <v>266</v>
      </c>
      <c r="B1" s="28" t="s">
        <v>265</v>
      </c>
      <c r="C1" s="28" t="s">
        <v>267</v>
      </c>
      <c r="D1" s="28" t="s">
        <v>306</v>
      </c>
      <c r="E1" s="96" t="s">
        <v>871</v>
      </c>
    </row>
    <row r="2" spans="1:5">
      <c r="A2" s="34" t="s">
        <v>218</v>
      </c>
      <c r="B2" s="29" t="s">
        <v>43</v>
      </c>
      <c r="C2" s="29" t="s">
        <v>138</v>
      </c>
      <c r="D2" s="29" t="s">
        <v>236</v>
      </c>
      <c r="E2" t="s">
        <v>872</v>
      </c>
    </row>
    <row r="3" spans="1:5">
      <c r="A3" s="35" t="s">
        <v>39</v>
      </c>
      <c r="B3" s="29" t="s">
        <v>591</v>
      </c>
      <c r="C3" s="29" t="s">
        <v>176</v>
      </c>
      <c r="D3" s="29" t="s">
        <v>258</v>
      </c>
      <c r="E3" t="s">
        <v>873</v>
      </c>
    </row>
    <row r="4" spans="1:5">
      <c r="A4" s="35" t="s">
        <v>309</v>
      </c>
      <c r="B4" s="30" t="s">
        <v>318</v>
      </c>
      <c r="C4" s="26" t="s">
        <v>323</v>
      </c>
      <c r="D4" s="29" t="s">
        <v>968</v>
      </c>
      <c r="E4" t="s">
        <v>874</v>
      </c>
    </row>
    <row r="5" spans="1:5">
      <c r="A5" s="35" t="s">
        <v>219</v>
      </c>
      <c r="B5" s="26" t="s">
        <v>317</v>
      </c>
      <c r="C5" s="29" t="s">
        <v>322</v>
      </c>
      <c r="D5" s="29" t="s">
        <v>969</v>
      </c>
      <c r="E5" t="s">
        <v>875</v>
      </c>
    </row>
    <row r="6" spans="1:5">
      <c r="A6" s="34" t="s">
        <v>636</v>
      </c>
      <c r="B6" s="29" t="s">
        <v>647</v>
      </c>
      <c r="C6" s="29" t="s">
        <v>648</v>
      </c>
      <c r="D6" s="29" t="s">
        <v>970</v>
      </c>
      <c r="E6" t="s">
        <v>876</v>
      </c>
    </row>
    <row r="7" spans="1:5">
      <c r="A7" s="34" t="s">
        <v>56</v>
      </c>
      <c r="B7" s="29" t="s">
        <v>61</v>
      </c>
      <c r="C7" s="29" t="s">
        <v>130</v>
      </c>
      <c r="D7" s="29" t="s">
        <v>230</v>
      </c>
      <c r="E7" s="38" t="s">
        <v>877</v>
      </c>
    </row>
    <row r="8" spans="1:5">
      <c r="A8" s="35" t="s">
        <v>16</v>
      </c>
      <c r="B8" s="29" t="s">
        <v>110</v>
      </c>
      <c r="C8" s="29" t="s">
        <v>155</v>
      </c>
      <c r="D8" s="29" t="s">
        <v>971</v>
      </c>
      <c r="E8" s="38" t="s">
        <v>878</v>
      </c>
    </row>
    <row r="9" spans="1:5">
      <c r="A9" s="35" t="s">
        <v>706</v>
      </c>
      <c r="B9" s="30" t="s">
        <v>672</v>
      </c>
      <c r="C9" s="29" t="s">
        <v>673</v>
      </c>
      <c r="D9" s="29" t="s">
        <v>972</v>
      </c>
      <c r="E9" t="s">
        <v>879</v>
      </c>
    </row>
    <row r="10" spans="1:5" ht="30">
      <c r="A10" s="34" t="s">
        <v>707</v>
      </c>
      <c r="B10" s="29" t="s">
        <v>641</v>
      </c>
      <c r="C10" s="29" t="s">
        <v>642</v>
      </c>
      <c r="D10" s="29" t="s">
        <v>973</v>
      </c>
      <c r="E10" t="s">
        <v>880</v>
      </c>
    </row>
    <row r="11" spans="1:5">
      <c r="A11" s="34" t="s">
        <v>1233</v>
      </c>
      <c r="E11"/>
    </row>
    <row r="12" spans="1:5" ht="45">
      <c r="A12" s="35" t="s">
        <v>325</v>
      </c>
      <c r="B12" s="30" t="s">
        <v>326</v>
      </c>
      <c r="C12" s="26" t="s">
        <v>325</v>
      </c>
      <c r="D12" s="26" t="s">
        <v>974</v>
      </c>
      <c r="E12" s="6" t="s">
        <v>881</v>
      </c>
    </row>
    <row r="13" spans="1:5">
      <c r="A13" s="35" t="s">
        <v>308</v>
      </c>
      <c r="B13" s="30" t="s">
        <v>319</v>
      </c>
      <c r="C13" s="26" t="s">
        <v>308</v>
      </c>
      <c r="D13" s="26" t="s">
        <v>975</v>
      </c>
      <c r="E13" s="6" t="s">
        <v>882</v>
      </c>
    </row>
    <row r="14" spans="1:5">
      <c r="A14" s="35" t="s">
        <v>3</v>
      </c>
      <c r="B14" s="29" t="s">
        <v>73</v>
      </c>
      <c r="C14" s="29" t="s">
        <v>146</v>
      </c>
      <c r="D14" s="29" t="s">
        <v>242</v>
      </c>
      <c r="E14" s="38" t="s">
        <v>883</v>
      </c>
    </row>
    <row r="15" spans="1:5">
      <c r="A15" s="35" t="s">
        <v>708</v>
      </c>
      <c r="B15" s="29" t="s">
        <v>321</v>
      </c>
      <c r="C15" s="29" t="s">
        <v>150</v>
      </c>
      <c r="D15" s="29" t="s">
        <v>976</v>
      </c>
      <c r="E15" s="6" t="s">
        <v>884</v>
      </c>
    </row>
    <row r="16" spans="1:5">
      <c r="A16" s="34" t="s">
        <v>709</v>
      </c>
      <c r="B16" s="29" t="s">
        <v>25</v>
      </c>
      <c r="C16" s="29" t="s">
        <v>135</v>
      </c>
      <c r="D16" s="29" t="s">
        <v>977</v>
      </c>
      <c r="E16" s="6" t="s">
        <v>885</v>
      </c>
    </row>
    <row r="17" spans="1:5">
      <c r="A17" s="34" t="s">
        <v>65</v>
      </c>
      <c r="B17" s="29" t="s">
        <v>37</v>
      </c>
      <c r="C17" s="29" t="s">
        <v>136</v>
      </c>
      <c r="D17" s="29" t="s">
        <v>232</v>
      </c>
      <c r="E17" s="6" t="s">
        <v>886</v>
      </c>
    </row>
    <row r="18" spans="1:5">
      <c r="A18" s="34" t="s">
        <v>710</v>
      </c>
      <c r="B18" s="29" t="s">
        <v>67</v>
      </c>
      <c r="C18" s="29" t="s">
        <v>140</v>
      </c>
      <c r="D18" s="29" t="s">
        <v>978</v>
      </c>
      <c r="E18" t="s">
        <v>887</v>
      </c>
    </row>
    <row r="19" spans="1:5">
      <c r="A19" s="35" t="s">
        <v>17</v>
      </c>
      <c r="B19" s="29" t="s">
        <v>283</v>
      </c>
      <c r="C19" s="29" t="s">
        <v>284</v>
      </c>
      <c r="D19" s="29" t="s">
        <v>979</v>
      </c>
      <c r="E19" t="s">
        <v>888</v>
      </c>
    </row>
    <row r="20" spans="1:5">
      <c r="A20" s="35" t="s">
        <v>31</v>
      </c>
      <c r="B20" s="29" t="s">
        <v>1241</v>
      </c>
      <c r="C20" s="29" t="s">
        <v>1242</v>
      </c>
      <c r="D20" s="29" t="s">
        <v>1243</v>
      </c>
      <c r="E20" s="6" t="s">
        <v>1242</v>
      </c>
    </row>
    <row r="21" spans="1:5">
      <c r="A21" s="35" t="s">
        <v>24</v>
      </c>
      <c r="B21" s="29" t="s">
        <v>121</v>
      </c>
      <c r="C21" s="29" t="s">
        <v>173</v>
      </c>
      <c r="D21" s="29" t="s">
        <v>257</v>
      </c>
      <c r="E21" t="s">
        <v>889</v>
      </c>
    </row>
    <row r="22" spans="1:5">
      <c r="A22" s="34" t="s">
        <v>669</v>
      </c>
      <c r="B22" s="29" t="s">
        <v>676</v>
      </c>
      <c r="C22" s="29" t="s">
        <v>677</v>
      </c>
      <c r="D22" s="29" t="s">
        <v>980</v>
      </c>
      <c r="E22" s="6" t="s">
        <v>890</v>
      </c>
    </row>
    <row r="23" spans="1:5">
      <c r="A23" s="34" t="s">
        <v>1244</v>
      </c>
      <c r="B23" s="29" t="s">
        <v>0</v>
      </c>
      <c r="C23" s="29" t="s">
        <v>127</v>
      </c>
      <c r="D23" s="29" t="s">
        <v>227</v>
      </c>
      <c r="E23" s="6" t="s">
        <v>127</v>
      </c>
    </row>
    <row r="24" spans="1:5">
      <c r="A24" s="35" t="s">
        <v>82</v>
      </c>
      <c r="B24" s="29" t="s">
        <v>82</v>
      </c>
      <c r="C24" s="29" t="s">
        <v>82</v>
      </c>
      <c r="D24" s="29" t="s">
        <v>981</v>
      </c>
      <c r="E24" t="s">
        <v>82</v>
      </c>
    </row>
    <row r="25" spans="1:5">
      <c r="A25" s="34" t="s">
        <v>597</v>
      </c>
      <c r="B25" s="29" t="s">
        <v>598</v>
      </c>
      <c r="C25" s="29" t="s">
        <v>599</v>
      </c>
      <c r="D25" s="29" t="s">
        <v>982</v>
      </c>
      <c r="E25" s="6" t="s">
        <v>891</v>
      </c>
    </row>
    <row r="26" spans="1:5">
      <c r="A26" s="34" t="s">
        <v>234</v>
      </c>
      <c r="B26" s="29" t="s">
        <v>234</v>
      </c>
      <c r="C26" s="29" t="s">
        <v>234</v>
      </c>
      <c r="D26" s="29" t="s">
        <v>234</v>
      </c>
      <c r="E26" t="s">
        <v>234</v>
      </c>
    </row>
    <row r="27" spans="1:5" ht="30">
      <c r="A27" s="34" t="s">
        <v>635</v>
      </c>
      <c r="B27" s="29" t="s">
        <v>643</v>
      </c>
      <c r="C27" s="29" t="s">
        <v>644</v>
      </c>
      <c r="D27" s="29" t="s">
        <v>983</v>
      </c>
      <c r="E27" t="s">
        <v>892</v>
      </c>
    </row>
    <row r="28" spans="1:5" ht="30">
      <c r="A28" s="34" t="s">
        <v>634</v>
      </c>
      <c r="B28" s="29" t="s">
        <v>645</v>
      </c>
      <c r="C28" s="29" t="s">
        <v>646</v>
      </c>
      <c r="D28" s="29" t="s">
        <v>984</v>
      </c>
      <c r="E28" t="s">
        <v>893</v>
      </c>
    </row>
    <row r="29" spans="1:5">
      <c r="A29" s="34" t="s">
        <v>670</v>
      </c>
      <c r="B29" s="29" t="s">
        <v>684</v>
      </c>
      <c r="C29" s="29" t="s">
        <v>678</v>
      </c>
      <c r="D29" s="29" t="s">
        <v>679</v>
      </c>
      <c r="E29" t="s">
        <v>894</v>
      </c>
    </row>
    <row r="30" spans="1:5">
      <c r="A30" s="35" t="s">
        <v>18</v>
      </c>
      <c r="B30" s="29" t="s">
        <v>112</v>
      </c>
      <c r="C30" s="29" t="s">
        <v>158</v>
      </c>
      <c r="D30" s="29" t="s">
        <v>249</v>
      </c>
      <c r="E30" t="s">
        <v>895</v>
      </c>
    </row>
    <row r="31" spans="1:5">
      <c r="A31" s="35" t="s">
        <v>711</v>
      </c>
      <c r="B31" s="29" t="s">
        <v>118</v>
      </c>
      <c r="C31" s="29" t="s">
        <v>166</v>
      </c>
      <c r="D31" s="29" t="s">
        <v>254</v>
      </c>
      <c r="E31" t="s">
        <v>896</v>
      </c>
    </row>
    <row r="32" spans="1:5">
      <c r="A32" s="35" t="s">
        <v>42</v>
      </c>
      <c r="B32" s="29" t="s">
        <v>596</v>
      </c>
      <c r="C32" s="29" t="s">
        <v>179</v>
      </c>
      <c r="D32" s="29" t="s">
        <v>263</v>
      </c>
      <c r="E32" t="s">
        <v>897</v>
      </c>
    </row>
    <row r="33" spans="1:5">
      <c r="A33" s="34" t="s">
        <v>671</v>
      </c>
      <c r="B33" s="29" t="s">
        <v>680</v>
      </c>
      <c r="C33" s="29" t="s">
        <v>682</v>
      </c>
      <c r="D33" s="29" t="s">
        <v>681</v>
      </c>
      <c r="E33" s="38" t="s">
        <v>898</v>
      </c>
    </row>
    <row r="34" spans="1:5">
      <c r="A34" s="35" t="s">
        <v>38</v>
      </c>
      <c r="B34" s="29" t="s">
        <v>590</v>
      </c>
      <c r="C34" s="29" t="s">
        <v>148</v>
      </c>
      <c r="D34" s="29" t="s">
        <v>243</v>
      </c>
      <c r="E34" t="s">
        <v>899</v>
      </c>
    </row>
    <row r="35" spans="1:5">
      <c r="A35" s="35" t="s">
        <v>123</v>
      </c>
      <c r="B35" s="29" t="s">
        <v>124</v>
      </c>
      <c r="C35" s="29" t="s">
        <v>148</v>
      </c>
      <c r="D35" s="29" t="s">
        <v>243</v>
      </c>
      <c r="E35" t="s">
        <v>900</v>
      </c>
    </row>
    <row r="36" spans="1:5">
      <c r="A36" s="35" t="s">
        <v>5</v>
      </c>
      <c r="B36" s="35" t="s">
        <v>108</v>
      </c>
      <c r="C36" s="35" t="s">
        <v>151</v>
      </c>
      <c r="D36" s="35" t="s">
        <v>244</v>
      </c>
      <c r="E36" s="35" t="s">
        <v>901</v>
      </c>
    </row>
    <row r="37" spans="1:5">
      <c r="A37" s="35" t="s">
        <v>1</v>
      </c>
      <c r="B37" s="29" t="s">
        <v>1</v>
      </c>
      <c r="C37" s="29" t="s">
        <v>145</v>
      </c>
      <c r="D37" s="29" t="s">
        <v>1</v>
      </c>
      <c r="E37" t="s">
        <v>1</v>
      </c>
    </row>
    <row r="38" spans="1:5">
      <c r="A38" s="34" t="s">
        <v>665</v>
      </c>
      <c r="B38" s="29" t="s">
        <v>664</v>
      </c>
      <c r="C38" s="29" t="s">
        <v>664</v>
      </c>
      <c r="D38" s="29" t="s">
        <v>665</v>
      </c>
      <c r="E38" t="s">
        <v>664</v>
      </c>
    </row>
    <row r="39" spans="1:5">
      <c r="A39" s="35" t="s">
        <v>52</v>
      </c>
      <c r="B39" s="29" t="s">
        <v>114</v>
      </c>
      <c r="C39" s="29" t="s">
        <v>161</v>
      </c>
      <c r="D39" s="29" t="s">
        <v>252</v>
      </c>
      <c r="E39" s="38" t="s">
        <v>902</v>
      </c>
    </row>
    <row r="40" spans="1:5">
      <c r="A40" s="35" t="s">
        <v>1216</v>
      </c>
      <c r="B40" s="29" t="s">
        <v>1222</v>
      </c>
      <c r="C40" s="29" t="s">
        <v>1222</v>
      </c>
      <c r="D40" s="29" t="s">
        <v>1223</v>
      </c>
      <c r="E40" s="38" t="s">
        <v>1224</v>
      </c>
    </row>
    <row r="41" spans="1:5" ht="30">
      <c r="A41" s="121" t="s">
        <v>1215</v>
      </c>
      <c r="B41" s="29" t="s">
        <v>698</v>
      </c>
      <c r="C41" s="29" t="s">
        <v>699</v>
      </c>
      <c r="D41" s="29" t="s">
        <v>985</v>
      </c>
      <c r="E41" s="6" t="s">
        <v>903</v>
      </c>
    </row>
    <row r="42" spans="1:5">
      <c r="A42" s="35" t="s">
        <v>339</v>
      </c>
      <c r="B42" s="30" t="s">
        <v>337</v>
      </c>
      <c r="C42" s="26" t="s">
        <v>338</v>
      </c>
      <c r="D42" s="29" t="s">
        <v>986</v>
      </c>
      <c r="E42" s="38" t="s">
        <v>904</v>
      </c>
    </row>
    <row r="43" spans="1:5">
      <c r="A43" s="35" t="s">
        <v>712</v>
      </c>
      <c r="B43" s="30" t="s">
        <v>223</v>
      </c>
      <c r="C43" s="29" t="s">
        <v>224</v>
      </c>
      <c r="D43" s="29" t="s">
        <v>264</v>
      </c>
      <c r="E43" t="s">
        <v>905</v>
      </c>
    </row>
    <row r="44" spans="1:5">
      <c r="A44" s="35" t="s">
        <v>329</v>
      </c>
      <c r="B44" s="26" t="s">
        <v>327</v>
      </c>
      <c r="C44" s="29" t="s">
        <v>328</v>
      </c>
      <c r="D44" s="29" t="s">
        <v>329</v>
      </c>
      <c r="E44" t="s">
        <v>906</v>
      </c>
    </row>
    <row r="45" spans="1:5" ht="30">
      <c r="A45" s="35" t="s">
        <v>713</v>
      </c>
      <c r="B45" s="29" t="s">
        <v>587</v>
      </c>
      <c r="C45" s="29" t="s">
        <v>156</v>
      </c>
      <c r="D45" s="29" t="s">
        <v>987</v>
      </c>
      <c r="E45" s="6" t="s">
        <v>907</v>
      </c>
    </row>
    <row r="46" spans="1:5">
      <c r="A46" s="35" t="s">
        <v>714</v>
      </c>
      <c r="B46" s="30" t="s">
        <v>213</v>
      </c>
      <c r="C46" s="29" t="s">
        <v>214</v>
      </c>
      <c r="D46" s="30" t="s">
        <v>988</v>
      </c>
      <c r="E46" t="s">
        <v>908</v>
      </c>
    </row>
    <row r="47" spans="1:5">
      <c r="A47" s="35" t="s">
        <v>715</v>
      </c>
      <c r="B47" s="29" t="s">
        <v>119</v>
      </c>
      <c r="C47" s="29" t="s">
        <v>168</v>
      </c>
      <c r="D47" s="29" t="s">
        <v>989</v>
      </c>
      <c r="E47" s="6" t="s">
        <v>909</v>
      </c>
    </row>
    <row r="48" spans="1:5">
      <c r="A48" s="35" t="s">
        <v>40</v>
      </c>
      <c r="B48" s="29" t="s">
        <v>592</v>
      </c>
      <c r="C48" s="29" t="s">
        <v>178</v>
      </c>
      <c r="D48" s="29" t="s">
        <v>260</v>
      </c>
      <c r="E48" s="38" t="s">
        <v>910</v>
      </c>
    </row>
    <row r="49" spans="1:7">
      <c r="A49" s="35" t="s">
        <v>716</v>
      </c>
      <c r="B49" s="29" t="s">
        <v>572</v>
      </c>
      <c r="C49" s="29" t="s">
        <v>164</v>
      </c>
      <c r="D49" s="29" t="s">
        <v>990</v>
      </c>
      <c r="E49" s="6" t="s">
        <v>911</v>
      </c>
    </row>
    <row r="50" spans="1:7" ht="30">
      <c r="A50" s="36" t="s">
        <v>717</v>
      </c>
      <c r="B50" s="29" t="s">
        <v>578</v>
      </c>
      <c r="C50" s="29" t="s">
        <v>585</v>
      </c>
      <c r="D50" s="29" t="s">
        <v>991</v>
      </c>
      <c r="E50" s="6" t="s">
        <v>912</v>
      </c>
    </row>
    <row r="51" spans="1:7" ht="30">
      <c r="A51" s="36" t="s">
        <v>718</v>
      </c>
      <c r="B51" s="29" t="s">
        <v>576</v>
      </c>
      <c r="C51" s="29" t="s">
        <v>582</v>
      </c>
      <c r="D51" s="29" t="s">
        <v>992</v>
      </c>
      <c r="E51" s="6" t="s">
        <v>913</v>
      </c>
    </row>
    <row r="52" spans="1:7">
      <c r="A52" s="34" t="s">
        <v>63</v>
      </c>
      <c r="B52" s="29" t="s">
        <v>63</v>
      </c>
      <c r="C52" s="29" t="s">
        <v>131</v>
      </c>
      <c r="D52" s="29" t="s">
        <v>993</v>
      </c>
      <c r="E52" s="6" t="s">
        <v>914</v>
      </c>
    </row>
    <row r="53" spans="1:7" ht="60">
      <c r="A53" s="35" t="s">
        <v>196</v>
      </c>
      <c r="B53" s="27" t="s">
        <v>195</v>
      </c>
      <c r="C53" s="31"/>
      <c r="D53" s="31" t="s">
        <v>994</v>
      </c>
      <c r="E53" s="6" t="s">
        <v>915</v>
      </c>
    </row>
    <row r="54" spans="1:7">
      <c r="A54" s="35" t="s">
        <v>23</v>
      </c>
      <c r="B54" s="29" t="s">
        <v>573</v>
      </c>
      <c r="C54" s="29" t="s">
        <v>160</v>
      </c>
      <c r="D54" s="29" t="s">
        <v>251</v>
      </c>
      <c r="E54" t="s">
        <v>916</v>
      </c>
    </row>
    <row r="55" spans="1:7">
      <c r="A55" s="35" t="s">
        <v>542</v>
      </c>
      <c r="B55" s="29" t="s">
        <v>574</v>
      </c>
      <c r="C55" s="29" t="s">
        <v>170</v>
      </c>
      <c r="D55" s="29" t="s">
        <v>995</v>
      </c>
      <c r="E55" t="s">
        <v>917</v>
      </c>
    </row>
    <row r="56" spans="1:7">
      <c r="A56" s="36" t="s">
        <v>540</v>
      </c>
      <c r="B56" s="29" t="s">
        <v>581</v>
      </c>
      <c r="C56" s="29" t="s">
        <v>584</v>
      </c>
      <c r="D56" s="29" t="s">
        <v>996</v>
      </c>
      <c r="E56" s="6" t="s">
        <v>918</v>
      </c>
    </row>
    <row r="57" spans="1:7">
      <c r="A57" s="35" t="s">
        <v>694</v>
      </c>
      <c r="B57" s="30" t="s">
        <v>695</v>
      </c>
      <c r="C57" s="26" t="s">
        <v>696</v>
      </c>
      <c r="D57" s="29" t="s">
        <v>697</v>
      </c>
      <c r="E57" t="s">
        <v>919</v>
      </c>
    </row>
    <row r="58" spans="1:7">
      <c r="A58" s="35" t="s">
        <v>719</v>
      </c>
      <c r="B58" s="29" t="s">
        <v>116</v>
      </c>
      <c r="C58" s="29" t="s">
        <v>163</v>
      </c>
      <c r="D58" s="29" t="s">
        <v>997</v>
      </c>
      <c r="E58" s="6" t="s">
        <v>920</v>
      </c>
    </row>
    <row r="59" spans="1:7">
      <c r="A59" s="35" t="s">
        <v>720</v>
      </c>
      <c r="B59" s="29" t="s">
        <v>434</v>
      </c>
      <c r="C59" s="29" t="s">
        <v>169</v>
      </c>
      <c r="D59" s="29" t="s">
        <v>998</v>
      </c>
      <c r="E59" t="s">
        <v>921</v>
      </c>
    </row>
    <row r="60" spans="1:7" ht="30">
      <c r="A60" s="36" t="s">
        <v>721</v>
      </c>
      <c r="B60" s="29" t="s">
        <v>579</v>
      </c>
      <c r="C60" s="29" t="s">
        <v>586</v>
      </c>
      <c r="D60" s="29" t="s">
        <v>999</v>
      </c>
      <c r="E60" s="6" t="s">
        <v>922</v>
      </c>
    </row>
    <row r="61" spans="1:7" ht="30">
      <c r="A61" s="36" t="s">
        <v>539</v>
      </c>
      <c r="B61" s="29" t="s">
        <v>580</v>
      </c>
      <c r="C61" s="29" t="s">
        <v>583</v>
      </c>
      <c r="D61" s="29" t="s">
        <v>1000</v>
      </c>
      <c r="E61" s="6" t="s">
        <v>923</v>
      </c>
    </row>
    <row r="62" spans="1:7">
      <c r="A62" s="34" t="s">
        <v>722</v>
      </c>
      <c r="B62" s="29" t="s">
        <v>66</v>
      </c>
      <c r="C62" s="29" t="s">
        <v>139</v>
      </c>
      <c r="D62" s="29" t="s">
        <v>237</v>
      </c>
      <c r="E62" t="s">
        <v>924</v>
      </c>
    </row>
    <row r="63" spans="1:7">
      <c r="A63" s="34" t="s">
        <v>723</v>
      </c>
      <c r="B63" s="29" t="s">
        <v>68</v>
      </c>
      <c r="C63" s="29" t="s">
        <v>142</v>
      </c>
      <c r="D63" s="29" t="s">
        <v>239</v>
      </c>
      <c r="E63" t="s">
        <v>925</v>
      </c>
    </row>
    <row r="64" spans="1:7">
      <c r="A64" s="35" t="s">
        <v>53</v>
      </c>
      <c r="B64" s="29" t="s">
        <v>111</v>
      </c>
      <c r="C64" s="29" t="s">
        <v>157</v>
      </c>
      <c r="D64" s="29" t="s">
        <v>248</v>
      </c>
      <c r="E64" s="6" t="s">
        <v>926</v>
      </c>
      <c r="G64" s="32"/>
    </row>
    <row r="65" spans="1:13">
      <c r="A65" s="35" t="s">
        <v>48</v>
      </c>
      <c r="B65" s="29" t="s">
        <v>595</v>
      </c>
      <c r="C65" s="29" t="s">
        <v>177</v>
      </c>
      <c r="D65" s="29" t="s">
        <v>259</v>
      </c>
      <c r="E65" t="s">
        <v>927</v>
      </c>
    </row>
    <row r="66" spans="1:13">
      <c r="A66" s="34" t="s">
        <v>661</v>
      </c>
      <c r="B66" s="29" t="s">
        <v>662</v>
      </c>
      <c r="C66" s="29" t="s">
        <v>663</v>
      </c>
      <c r="D66" s="29" t="s">
        <v>235</v>
      </c>
      <c r="E66" t="s">
        <v>928</v>
      </c>
    </row>
    <row r="67" spans="1:13">
      <c r="A67" s="34" t="s">
        <v>70</v>
      </c>
      <c r="B67" s="29" t="s">
        <v>72</v>
      </c>
      <c r="C67" s="29" t="s">
        <v>144</v>
      </c>
      <c r="D67" s="29" t="s">
        <v>241</v>
      </c>
      <c r="E67" t="s">
        <v>929</v>
      </c>
    </row>
    <row r="68" spans="1:13">
      <c r="A68" s="34" t="s">
        <v>654</v>
      </c>
      <c r="B68" s="29" t="s">
        <v>657</v>
      </c>
      <c r="C68" s="29" t="s">
        <v>654</v>
      </c>
      <c r="D68" s="29" t="s">
        <v>658</v>
      </c>
      <c r="E68" t="s">
        <v>654</v>
      </c>
    </row>
    <row r="69" spans="1:13">
      <c r="A69" s="34" t="s">
        <v>637</v>
      </c>
      <c r="B69" s="29" t="s">
        <v>649</v>
      </c>
      <c r="C69" s="29" t="s">
        <v>650</v>
      </c>
      <c r="D69" s="29" t="s">
        <v>1001</v>
      </c>
      <c r="E69" t="s">
        <v>930</v>
      </c>
    </row>
    <row r="70" spans="1:13">
      <c r="A70" s="34" t="s">
        <v>724</v>
      </c>
      <c r="B70" s="29" t="s">
        <v>683</v>
      </c>
      <c r="C70" s="29" t="s">
        <v>133</v>
      </c>
      <c r="D70" s="29" t="s">
        <v>1002</v>
      </c>
      <c r="E70" t="s">
        <v>931</v>
      </c>
    </row>
    <row r="71" spans="1:13">
      <c r="A71" s="35" t="s">
        <v>303</v>
      </c>
      <c r="B71" s="30" t="s">
        <v>304</v>
      </c>
      <c r="C71" s="29" t="s">
        <v>305</v>
      </c>
      <c r="D71" s="29" t="s">
        <v>1003</v>
      </c>
      <c r="E71" t="s">
        <v>932</v>
      </c>
    </row>
    <row r="72" spans="1:13">
      <c r="A72" s="35" t="s">
        <v>725</v>
      </c>
      <c r="B72" s="29" t="s">
        <v>117</v>
      </c>
      <c r="C72" s="29" t="s">
        <v>165</v>
      </c>
      <c r="D72" s="29" t="s">
        <v>1004</v>
      </c>
      <c r="E72" t="s">
        <v>933</v>
      </c>
    </row>
    <row r="73" spans="1:13">
      <c r="A73" s="35" t="s">
        <v>726</v>
      </c>
      <c r="B73" s="29" t="s">
        <v>342</v>
      </c>
      <c r="C73" s="29" t="s">
        <v>343</v>
      </c>
      <c r="D73" s="29" t="s">
        <v>1005</v>
      </c>
      <c r="E73" t="s">
        <v>934</v>
      </c>
      <c r="F73" s="31"/>
      <c r="G73" s="31"/>
      <c r="H73" s="31"/>
      <c r="I73" s="31"/>
      <c r="J73" s="31"/>
      <c r="K73" s="31"/>
      <c r="L73" s="31"/>
      <c r="M73" s="31"/>
    </row>
    <row r="74" spans="1:13">
      <c r="A74" s="34" t="s">
        <v>705</v>
      </c>
      <c r="B74" s="29" t="s">
        <v>44</v>
      </c>
      <c r="C74" s="29" t="s">
        <v>125</v>
      </c>
      <c r="D74" s="29" t="s">
        <v>225</v>
      </c>
      <c r="E74" t="s">
        <v>935</v>
      </c>
    </row>
    <row r="75" spans="1:13">
      <c r="A75" s="35" t="s">
        <v>20</v>
      </c>
      <c r="B75" s="29" t="s">
        <v>115</v>
      </c>
      <c r="C75" s="29" t="s">
        <v>162</v>
      </c>
      <c r="D75" s="29" t="s">
        <v>253</v>
      </c>
      <c r="E75" s="38" t="s">
        <v>936</v>
      </c>
    </row>
    <row r="76" spans="1:13">
      <c r="A76" s="34" t="s">
        <v>727</v>
      </c>
      <c r="B76" s="29" t="s">
        <v>316</v>
      </c>
      <c r="C76" s="29" t="s">
        <v>141</v>
      </c>
      <c r="D76" s="29" t="s">
        <v>238</v>
      </c>
      <c r="E76" t="s">
        <v>937</v>
      </c>
    </row>
    <row r="77" spans="1:13" ht="30">
      <c r="A77" s="35" t="s">
        <v>728</v>
      </c>
      <c r="B77" s="30" t="s">
        <v>221</v>
      </c>
      <c r="C77" s="29" t="s">
        <v>222</v>
      </c>
      <c r="D77" s="29" t="s">
        <v>1006</v>
      </c>
      <c r="E77" t="s">
        <v>938</v>
      </c>
    </row>
    <row r="78" spans="1:13">
      <c r="A78" s="35" t="s">
        <v>1213</v>
      </c>
      <c r="B78" s="29" t="s">
        <v>575</v>
      </c>
      <c r="C78" s="29" t="s">
        <v>167</v>
      </c>
      <c r="D78" s="29" t="s">
        <v>1007</v>
      </c>
      <c r="E78" t="s">
        <v>939</v>
      </c>
    </row>
    <row r="79" spans="1:13">
      <c r="A79" s="34" t="s">
        <v>729</v>
      </c>
      <c r="B79" s="29" t="s">
        <v>45</v>
      </c>
      <c r="C79" s="29" t="s">
        <v>134</v>
      </c>
      <c r="D79" s="29" t="s">
        <v>231</v>
      </c>
      <c r="E79" t="s">
        <v>940</v>
      </c>
    </row>
    <row r="80" spans="1:13">
      <c r="A80" s="35" t="s">
        <v>4</v>
      </c>
      <c r="B80" s="29" t="s">
        <v>74</v>
      </c>
      <c r="C80" s="29" t="s">
        <v>147</v>
      </c>
      <c r="D80" s="29" t="s">
        <v>1008</v>
      </c>
      <c r="E80" s="6" t="s">
        <v>941</v>
      </c>
    </row>
    <row r="81" spans="1:5">
      <c r="A81" s="35" t="s">
        <v>51</v>
      </c>
      <c r="B81" s="29" t="s">
        <v>122</v>
      </c>
      <c r="C81" s="29" t="s">
        <v>174</v>
      </c>
      <c r="D81" s="29" t="s">
        <v>1009</v>
      </c>
      <c r="E81" s="6" t="s">
        <v>942</v>
      </c>
    </row>
    <row r="82" spans="1:5" ht="30">
      <c r="A82" s="35" t="s">
        <v>220</v>
      </c>
      <c r="B82" s="29" t="s">
        <v>320</v>
      </c>
      <c r="C82" s="29" t="s">
        <v>149</v>
      </c>
      <c r="D82" s="29" t="s">
        <v>1010</v>
      </c>
      <c r="E82" s="6" t="s">
        <v>943</v>
      </c>
    </row>
    <row r="83" spans="1:5" ht="20.25">
      <c r="A83" s="35" t="s">
        <v>1214</v>
      </c>
      <c r="B83" s="29" t="s">
        <v>1229</v>
      </c>
      <c r="C83" s="29" t="s">
        <v>1232</v>
      </c>
      <c r="D83" s="122" t="s">
        <v>1227</v>
      </c>
      <c r="E83" s="6" t="s">
        <v>1225</v>
      </c>
    </row>
    <row r="84" spans="1:5" ht="32.25">
      <c r="A84" s="35" t="s">
        <v>1217</v>
      </c>
      <c r="B84" s="29" t="s">
        <v>1230</v>
      </c>
      <c r="C84" s="29" t="s">
        <v>1231</v>
      </c>
      <c r="D84" s="122" t="s">
        <v>1228</v>
      </c>
      <c r="E84" s="6" t="s">
        <v>1226</v>
      </c>
    </row>
    <row r="85" spans="1:5">
      <c r="A85" s="35" t="s">
        <v>15</v>
      </c>
      <c r="B85" s="29" t="s">
        <v>588</v>
      </c>
      <c r="C85" s="29" t="s">
        <v>154</v>
      </c>
      <c r="D85" s="29" t="s">
        <v>247</v>
      </c>
      <c r="E85" t="s">
        <v>944</v>
      </c>
    </row>
    <row r="86" spans="1:5">
      <c r="A86" s="34" t="s">
        <v>54</v>
      </c>
      <c r="B86" s="29" t="s">
        <v>59</v>
      </c>
      <c r="C86" s="29" t="s">
        <v>128</v>
      </c>
      <c r="D86" s="29" t="s">
        <v>228</v>
      </c>
      <c r="E86" t="s">
        <v>945</v>
      </c>
    </row>
    <row r="87" spans="1:5">
      <c r="A87" s="34" t="s">
        <v>1219</v>
      </c>
      <c r="B87" s="29" t="s">
        <v>649</v>
      </c>
      <c r="C87" s="29" t="s">
        <v>650</v>
      </c>
      <c r="D87" s="29" t="s">
        <v>1220</v>
      </c>
      <c r="E87" s="29" t="s">
        <v>1221</v>
      </c>
    </row>
    <row r="88" spans="1:5">
      <c r="A88" s="34" t="s">
        <v>600</v>
      </c>
      <c r="B88" s="29" t="s">
        <v>601</v>
      </c>
      <c r="C88" s="29" t="s">
        <v>603</v>
      </c>
      <c r="D88" s="29" t="s">
        <v>602</v>
      </c>
      <c r="E88" t="s">
        <v>946</v>
      </c>
    </row>
    <row r="89" spans="1:5">
      <c r="A89" s="35" t="s">
        <v>730</v>
      </c>
      <c r="B89" s="29" t="s">
        <v>577</v>
      </c>
      <c r="C89" s="29" t="s">
        <v>187</v>
      </c>
      <c r="D89" s="29" t="s">
        <v>1011</v>
      </c>
      <c r="E89" t="s">
        <v>947</v>
      </c>
    </row>
    <row r="90" spans="1:5">
      <c r="A90" s="35" t="s">
        <v>19</v>
      </c>
      <c r="B90" s="29" t="s">
        <v>113</v>
      </c>
      <c r="C90" s="29" t="s">
        <v>159</v>
      </c>
      <c r="D90" s="29" t="s">
        <v>250</v>
      </c>
      <c r="E90" s="38" t="s">
        <v>948</v>
      </c>
    </row>
    <row r="91" spans="1:5">
      <c r="A91" s="35" t="s">
        <v>21</v>
      </c>
      <c r="B91" s="29" t="s">
        <v>120</v>
      </c>
      <c r="C91" s="29" t="s">
        <v>172</v>
      </c>
      <c r="D91" s="29" t="s">
        <v>256</v>
      </c>
      <c r="E91" t="s">
        <v>949</v>
      </c>
    </row>
    <row r="92" spans="1:5">
      <c r="A92" s="34" t="s">
        <v>36</v>
      </c>
      <c r="B92" s="29" t="s">
        <v>62</v>
      </c>
      <c r="C92" s="29" t="s">
        <v>132</v>
      </c>
      <c r="D92" s="29" t="s">
        <v>1012</v>
      </c>
      <c r="E92" t="s">
        <v>950</v>
      </c>
    </row>
    <row r="93" spans="1:5">
      <c r="A93" s="35" t="s">
        <v>49</v>
      </c>
      <c r="B93" s="29" t="s">
        <v>594</v>
      </c>
      <c r="C93" s="29" t="s">
        <v>175</v>
      </c>
      <c r="D93" s="29" t="s">
        <v>49</v>
      </c>
      <c r="E93" t="s">
        <v>951</v>
      </c>
    </row>
    <row r="94" spans="1:5">
      <c r="A94" s="35" t="s">
        <v>2</v>
      </c>
      <c r="B94" s="29" t="s">
        <v>106</v>
      </c>
      <c r="C94" s="29" t="s">
        <v>2</v>
      </c>
      <c r="D94" s="29" t="s">
        <v>1013</v>
      </c>
      <c r="E94" t="s">
        <v>952</v>
      </c>
    </row>
    <row r="95" spans="1:5">
      <c r="A95" s="35" t="s">
        <v>541</v>
      </c>
      <c r="B95" s="29" t="s">
        <v>571</v>
      </c>
      <c r="C95" s="29" t="s">
        <v>171</v>
      </c>
      <c r="D95" s="29" t="s">
        <v>255</v>
      </c>
      <c r="E95" s="6" t="s">
        <v>953</v>
      </c>
    </row>
    <row r="96" spans="1:5">
      <c r="A96" s="34" t="s">
        <v>733</v>
      </c>
      <c r="B96" s="29" t="s">
        <v>666</v>
      </c>
      <c r="C96" s="29" t="s">
        <v>667</v>
      </c>
      <c r="D96" s="29" t="s">
        <v>668</v>
      </c>
      <c r="E96" t="s">
        <v>954</v>
      </c>
    </row>
    <row r="97" spans="1:5">
      <c r="A97" s="34" t="s">
        <v>69</v>
      </c>
      <c r="B97" s="29" t="s">
        <v>107</v>
      </c>
      <c r="C97" s="29" t="s">
        <v>143</v>
      </c>
      <c r="D97" s="29" t="s">
        <v>240</v>
      </c>
      <c r="E97" t="s">
        <v>955</v>
      </c>
    </row>
    <row r="98" spans="1:5" ht="30">
      <c r="A98" s="35" t="s">
        <v>731</v>
      </c>
      <c r="B98" s="29" t="s">
        <v>703</v>
      </c>
      <c r="C98" s="29" t="s">
        <v>704</v>
      </c>
      <c r="D98" s="29" t="s">
        <v>1014</v>
      </c>
      <c r="E98" s="38" t="s">
        <v>956</v>
      </c>
    </row>
    <row r="99" spans="1:5">
      <c r="A99" s="34" t="s">
        <v>64</v>
      </c>
      <c r="B99" s="29" t="s">
        <v>50</v>
      </c>
      <c r="C99" s="29" t="s">
        <v>137</v>
      </c>
      <c r="D99" s="29" t="s">
        <v>233</v>
      </c>
      <c r="E99" t="s">
        <v>957</v>
      </c>
    </row>
    <row r="100" spans="1:5">
      <c r="A100" s="34" t="s">
        <v>55</v>
      </c>
      <c r="B100" s="29" t="s">
        <v>60</v>
      </c>
      <c r="C100" s="29" t="s">
        <v>129</v>
      </c>
      <c r="D100" s="29" t="s">
        <v>229</v>
      </c>
      <c r="E100" s="6" t="s">
        <v>958</v>
      </c>
    </row>
    <row r="101" spans="1:5">
      <c r="A101" s="34" t="s">
        <v>732</v>
      </c>
      <c r="B101" s="29" t="s">
        <v>674</v>
      </c>
      <c r="C101" s="29" t="s">
        <v>675</v>
      </c>
      <c r="D101" s="29" t="s">
        <v>1015</v>
      </c>
      <c r="E101" t="s">
        <v>959</v>
      </c>
    </row>
    <row r="102" spans="1:5">
      <c r="A102" s="34" t="s">
        <v>686</v>
      </c>
      <c r="B102" s="29" t="s">
        <v>685</v>
      </c>
      <c r="C102" s="29" t="s">
        <v>126</v>
      </c>
      <c r="D102" s="29" t="s">
        <v>226</v>
      </c>
      <c r="E102" t="s">
        <v>960</v>
      </c>
    </row>
    <row r="103" spans="1:5">
      <c r="A103" s="35" t="s">
        <v>41</v>
      </c>
      <c r="B103" s="29" t="s">
        <v>41</v>
      </c>
      <c r="C103" s="29" t="s">
        <v>41</v>
      </c>
      <c r="D103" s="29" t="s">
        <v>261</v>
      </c>
      <c r="E103" t="s">
        <v>961</v>
      </c>
    </row>
    <row r="104" spans="1:5">
      <c r="A104" s="34" t="s">
        <v>0</v>
      </c>
      <c r="B104" s="29" t="s">
        <v>0</v>
      </c>
      <c r="C104" s="29" t="s">
        <v>127</v>
      </c>
      <c r="D104" s="29" t="s">
        <v>227</v>
      </c>
      <c r="E104" t="s">
        <v>127</v>
      </c>
    </row>
    <row r="105" spans="1:5">
      <c r="A105" s="35" t="s">
        <v>6</v>
      </c>
      <c r="B105" s="35" t="s">
        <v>109</v>
      </c>
      <c r="C105" s="35" t="s">
        <v>152</v>
      </c>
      <c r="D105" s="35" t="s">
        <v>245</v>
      </c>
      <c r="E105" s="35" t="s">
        <v>962</v>
      </c>
    </row>
    <row r="106" spans="1:5">
      <c r="A106" s="35" t="s">
        <v>14</v>
      </c>
      <c r="B106" s="29" t="s">
        <v>589</v>
      </c>
      <c r="C106" s="29" t="s">
        <v>153</v>
      </c>
      <c r="D106" s="29" t="s">
        <v>246</v>
      </c>
      <c r="E106" t="s">
        <v>963</v>
      </c>
    </row>
    <row r="107" spans="1:5">
      <c r="A107" s="34" t="s">
        <v>638</v>
      </c>
      <c r="B107" s="29" t="s">
        <v>651</v>
      </c>
      <c r="C107" s="29" t="s">
        <v>652</v>
      </c>
      <c r="D107" s="29" t="s">
        <v>653</v>
      </c>
      <c r="E107" t="s">
        <v>964</v>
      </c>
    </row>
    <row r="108" spans="1:5">
      <c r="A108" s="35" t="s">
        <v>46</v>
      </c>
      <c r="B108" s="29" t="s">
        <v>593</v>
      </c>
      <c r="C108" s="29" t="s">
        <v>180</v>
      </c>
      <c r="D108" s="29" t="s">
        <v>262</v>
      </c>
      <c r="E108" t="s">
        <v>965</v>
      </c>
    </row>
    <row r="109" spans="1:5">
      <c r="A109" s="34" t="s">
        <v>639</v>
      </c>
      <c r="B109" s="29" t="s">
        <v>655</v>
      </c>
      <c r="C109" s="29" t="s">
        <v>656</v>
      </c>
      <c r="D109" s="29" t="s">
        <v>1016</v>
      </c>
      <c r="E109" t="s">
        <v>656</v>
      </c>
    </row>
    <row r="110" spans="1:5">
      <c r="A110" s="34" t="s">
        <v>1238</v>
      </c>
      <c r="B110" s="29" t="s">
        <v>687</v>
      </c>
      <c r="C110" s="29" t="s">
        <v>689</v>
      </c>
      <c r="D110" s="29" t="s">
        <v>688</v>
      </c>
      <c r="E110" t="s">
        <v>966</v>
      </c>
    </row>
    <row r="111" spans="1:5" ht="30">
      <c r="A111" s="34" t="s">
        <v>700</v>
      </c>
      <c r="B111" s="29" t="s">
        <v>701</v>
      </c>
      <c r="C111" s="29" t="s">
        <v>702</v>
      </c>
      <c r="D111" s="29" t="s">
        <v>1017</v>
      </c>
      <c r="E111" s="6" t="s">
        <v>967</v>
      </c>
    </row>
    <row r="112" spans="1:5">
      <c r="A112" s="34" t="s">
        <v>808</v>
      </c>
      <c r="B112" s="29" t="s">
        <v>841</v>
      </c>
      <c r="C112" s="29" t="s">
        <v>126</v>
      </c>
      <c r="D112" s="29" t="s">
        <v>226</v>
      </c>
      <c r="E112" s="29" t="s">
        <v>1218</v>
      </c>
    </row>
  </sheetData>
  <sheetProtection password="CC53" sheet="1" objects="1" scenarios="1" selectLockedCells="1" selectUnlockedCells="1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0000"/>
  </sheetPr>
  <dimension ref="A1:P81"/>
  <sheetViews>
    <sheetView topLeftCell="A25" zoomScale="65" workbookViewId="0">
      <selection activeCell="C25" sqref="C25"/>
    </sheetView>
  </sheetViews>
  <sheetFormatPr defaultRowHeight="12.75"/>
  <cols>
    <col min="1" max="1" width="3.28515625" customWidth="1"/>
    <col min="2" max="2" width="18.7109375" customWidth="1"/>
    <col min="3" max="3" width="35.140625" customWidth="1"/>
    <col min="4" max="4" width="6.140625" customWidth="1"/>
    <col min="5" max="5" width="12.42578125" customWidth="1"/>
    <col min="6" max="6" width="13.140625" customWidth="1"/>
    <col min="7" max="7" width="15" customWidth="1"/>
    <col min="8" max="8" width="17.7109375" customWidth="1"/>
    <col min="9" max="9" width="18.28515625" customWidth="1"/>
    <col min="10" max="10" width="11" customWidth="1"/>
    <col min="11" max="11" width="13.28515625" customWidth="1"/>
    <col min="12" max="12" width="11" customWidth="1"/>
    <col min="13" max="13" width="10.28515625" customWidth="1"/>
    <col min="14" max="14" width="8.5703125" customWidth="1"/>
    <col min="15" max="15" width="18.7109375" customWidth="1"/>
    <col min="16" max="16" width="3.140625" customWidth="1"/>
    <col min="17" max="17" width="2.42578125" customWidth="1"/>
    <col min="18" max="256" width="11.42578125" customWidth="1"/>
  </cols>
  <sheetData>
    <row r="1" spans="1:16" ht="15">
      <c r="A1" s="78"/>
      <c r="B1" s="452" t="s">
        <v>746</v>
      </c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</row>
    <row r="2" spans="1:16" ht="15">
      <c r="A2" s="78"/>
      <c r="B2" s="448" t="s">
        <v>828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50"/>
      <c r="P2" s="55"/>
    </row>
    <row r="3" spans="1:16" ht="15">
      <c r="A3" s="55"/>
      <c r="B3" s="454" t="s">
        <v>824</v>
      </c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55"/>
    </row>
    <row r="4" spans="1:16" ht="15">
      <c r="A4" s="55"/>
      <c r="B4" s="458" t="s">
        <v>341</v>
      </c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55"/>
    </row>
    <row r="5" spans="1:16">
      <c r="A5" s="55"/>
      <c r="B5" s="459" t="s">
        <v>825</v>
      </c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55"/>
    </row>
    <row r="6" spans="1:16">
      <c r="A6" s="55"/>
      <c r="B6" s="463"/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55"/>
    </row>
    <row r="7" spans="1:16" ht="15">
      <c r="A7" s="55"/>
      <c r="B7" s="448" t="s">
        <v>743</v>
      </c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50"/>
      <c r="P7" s="55"/>
    </row>
    <row r="8" spans="1:16" ht="15">
      <c r="A8" s="78"/>
      <c r="B8" s="461" t="s">
        <v>753</v>
      </c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55"/>
    </row>
    <row r="9" spans="1:16" ht="15">
      <c r="A9" s="78"/>
      <c r="B9" s="462" t="s">
        <v>754</v>
      </c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  <c r="N9" s="462"/>
      <c r="O9" s="462"/>
      <c r="P9" s="55"/>
    </row>
    <row r="10" spans="1:16" ht="15.75">
      <c r="A10" s="78"/>
      <c r="B10" s="79"/>
      <c r="C10" s="442" t="s">
        <v>686</v>
      </c>
      <c r="D10" s="444" t="s">
        <v>752</v>
      </c>
      <c r="E10" s="445" t="str">
        <f ca="1">VLOOKUP("Troops",Zone_Traduction,ref_langue,FALSE)</f>
        <v>Troops</v>
      </c>
      <c r="F10" s="445" t="str">
        <f ca="1">VLOOKUP("Troops",Zone_Traduction,ref_langue,FALSE)</f>
        <v>Troops</v>
      </c>
      <c r="G10" s="446" t="str">
        <f ca="1">VLOOKUP("Troops",Zone_Traduction,ref_langue,FALSE)</f>
        <v>Troops</v>
      </c>
      <c r="H10" s="444" t="s">
        <v>669</v>
      </c>
      <c r="I10" s="445"/>
      <c r="J10" s="446"/>
      <c r="K10" s="444" t="s">
        <v>670</v>
      </c>
      <c r="L10" s="445"/>
      <c r="M10" s="446"/>
      <c r="N10" s="444" t="s">
        <v>671</v>
      </c>
      <c r="O10" s="446"/>
      <c r="P10" s="55"/>
    </row>
    <row r="11" spans="1:16" ht="41.25" customHeight="1">
      <c r="A11" s="78"/>
      <c r="B11" s="80" t="s">
        <v>705</v>
      </c>
      <c r="C11" s="457"/>
      <c r="D11" s="81" t="s">
        <v>0</v>
      </c>
      <c r="E11" s="81" t="s">
        <v>56</v>
      </c>
      <c r="F11" s="81" t="s">
        <v>54</v>
      </c>
      <c r="G11" s="81" t="s">
        <v>55</v>
      </c>
      <c r="H11" s="81" t="s">
        <v>748</v>
      </c>
      <c r="I11" s="81" t="s">
        <v>597</v>
      </c>
      <c r="J11" s="81" t="s">
        <v>700</v>
      </c>
      <c r="K11" s="81" t="s">
        <v>749</v>
      </c>
      <c r="L11" s="81" t="s">
        <v>750</v>
      </c>
      <c r="M11" s="81" t="s">
        <v>751</v>
      </c>
      <c r="N11" s="82" t="s">
        <v>307</v>
      </c>
      <c r="O11" s="81" t="s">
        <v>308</v>
      </c>
      <c r="P11" s="55"/>
    </row>
    <row r="12" spans="1:16" ht="30">
      <c r="A12" s="78"/>
      <c r="B12" s="83">
        <v>1</v>
      </c>
      <c r="C12" s="84" t="s">
        <v>744</v>
      </c>
      <c r="D12" s="85" t="s">
        <v>7</v>
      </c>
      <c r="E12" s="85" t="s">
        <v>15</v>
      </c>
      <c r="F12" s="85" t="s">
        <v>3</v>
      </c>
      <c r="G12" s="85" t="s">
        <v>5</v>
      </c>
      <c r="H12" s="85" t="s">
        <v>30</v>
      </c>
      <c r="I12" s="85" t="s">
        <v>539</v>
      </c>
      <c r="J12" s="85" t="s">
        <v>30</v>
      </c>
      <c r="K12" s="83">
        <v>6</v>
      </c>
      <c r="L12" s="86">
        <v>7</v>
      </c>
      <c r="M12" s="87">
        <f>L12*K12</f>
        <v>42</v>
      </c>
      <c r="N12" s="88">
        <v>3</v>
      </c>
      <c r="O12" s="89">
        <v>4</v>
      </c>
      <c r="P12" s="55"/>
    </row>
    <row r="13" spans="1:16" ht="30">
      <c r="A13" s="78"/>
      <c r="B13" s="83">
        <v>1</v>
      </c>
      <c r="C13" s="84" t="s">
        <v>745</v>
      </c>
      <c r="D13" s="85" t="s">
        <v>9</v>
      </c>
      <c r="E13" s="85" t="s">
        <v>14</v>
      </c>
      <c r="F13" s="85" t="s">
        <v>3</v>
      </c>
      <c r="G13" s="85" t="s">
        <v>5</v>
      </c>
      <c r="H13" s="85" t="s">
        <v>17</v>
      </c>
      <c r="I13" s="85" t="s">
        <v>30</v>
      </c>
      <c r="J13" s="85" t="s">
        <v>30</v>
      </c>
      <c r="K13" s="83">
        <v>3</v>
      </c>
      <c r="L13" s="86">
        <v>5</v>
      </c>
      <c r="M13" s="87">
        <f>L13*K13</f>
        <v>15</v>
      </c>
      <c r="N13" s="88" t="str">
        <f>IF(ISBLANK(B13),"-",IF(B13=B14,ROUNDUP((K13+K14)/4,0),IF(B13=B12,"-",ROUNDUP(K13/4,0))))</f>
        <v>-</v>
      </c>
      <c r="O13" s="89" t="str">
        <f>IF(B13=B12,"-",IF(B13=B14,VLOOKUP(F13,tableau_autobreack,MATCH((K13+K14),colonnes_autobreack,FALSE),FALSE),
VLOOKUP(F13,tableau_autobreack,MATCH(K13,colonnes_autobreack,FALSE),FALSE)))</f>
        <v>-</v>
      </c>
      <c r="P13" s="55"/>
    </row>
    <row r="14" spans="1:16" ht="15">
      <c r="A14" s="78"/>
      <c r="B14" s="441"/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55"/>
    </row>
    <row r="15" spans="1:16" ht="15">
      <c r="A15" s="55"/>
      <c r="B15" s="448" t="s">
        <v>757</v>
      </c>
      <c r="C15" s="449"/>
      <c r="D15" s="449"/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450"/>
      <c r="P15" s="55"/>
    </row>
    <row r="16" spans="1:16" ht="15.75">
      <c r="A16" s="55"/>
      <c r="B16" s="447" t="s">
        <v>755</v>
      </c>
      <c r="C16" s="447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55"/>
    </row>
    <row r="17" spans="1:16" ht="15">
      <c r="A17" s="78"/>
      <c r="B17" s="466" t="s">
        <v>756</v>
      </c>
      <c r="C17" s="466"/>
      <c r="D17" s="466"/>
      <c r="E17" s="466"/>
      <c r="F17" s="466"/>
      <c r="G17" s="466"/>
      <c r="H17" s="466"/>
      <c r="I17" s="466"/>
      <c r="J17" s="466"/>
      <c r="K17" s="466"/>
      <c r="L17" s="466"/>
      <c r="M17" s="466"/>
      <c r="N17" s="466"/>
      <c r="O17" s="466"/>
      <c r="P17" s="55"/>
    </row>
    <row r="18" spans="1:16" ht="15">
      <c r="A18" s="78"/>
      <c r="B18" s="466"/>
      <c r="C18" s="466"/>
      <c r="D18" s="466"/>
      <c r="E18" s="466"/>
      <c r="F18" s="466"/>
      <c r="G18" s="466"/>
      <c r="H18" s="466"/>
      <c r="I18" s="466"/>
      <c r="J18" s="466"/>
      <c r="K18" s="466"/>
      <c r="L18" s="466"/>
      <c r="M18" s="466"/>
      <c r="N18" s="466"/>
      <c r="O18" s="466"/>
      <c r="P18" s="55"/>
    </row>
    <row r="19" spans="1:16" ht="15">
      <c r="A19" s="55"/>
      <c r="B19" s="448" t="s">
        <v>694</v>
      </c>
      <c r="C19" s="449"/>
      <c r="D19" s="449"/>
      <c r="E19" s="449"/>
      <c r="F19" s="449"/>
      <c r="G19" s="449"/>
      <c r="H19" s="449"/>
      <c r="I19" s="449"/>
      <c r="J19" s="449"/>
      <c r="K19" s="449"/>
      <c r="L19" s="449"/>
      <c r="M19" s="449"/>
      <c r="N19" s="449"/>
      <c r="O19" s="450"/>
      <c r="P19" s="55"/>
    </row>
    <row r="20" spans="1:16" ht="15">
      <c r="A20" s="55"/>
      <c r="B20" s="451" t="s">
        <v>758</v>
      </c>
      <c r="C20" s="451"/>
      <c r="D20" s="451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451"/>
      <c r="P20" s="55"/>
    </row>
    <row r="21" spans="1:16" ht="15">
      <c r="A21" s="78"/>
      <c r="B21" s="451" t="s">
        <v>759</v>
      </c>
      <c r="C21" s="451"/>
      <c r="D21" s="451"/>
      <c r="E21" s="451"/>
      <c r="F21" s="451"/>
      <c r="G21" s="451"/>
      <c r="H21" s="451"/>
      <c r="I21" s="451"/>
      <c r="J21" s="451"/>
      <c r="K21" s="451"/>
      <c r="L21" s="451"/>
      <c r="M21" s="451"/>
      <c r="N21" s="451"/>
      <c r="O21" s="451"/>
      <c r="P21" s="55"/>
    </row>
    <row r="22" spans="1:16" ht="15">
      <c r="A22" s="78"/>
      <c r="B22" s="451" t="s">
        <v>870</v>
      </c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451"/>
      <c r="P22" s="55"/>
    </row>
    <row r="23" spans="1:16" ht="15">
      <c r="A23" s="78"/>
      <c r="B23" s="451"/>
      <c r="C23" s="451"/>
      <c r="D23" s="451"/>
      <c r="E23" s="451"/>
      <c r="F23" s="451"/>
      <c r="G23" s="451"/>
      <c r="H23" s="451"/>
      <c r="I23" s="451"/>
      <c r="J23" s="451"/>
      <c r="K23" s="451"/>
      <c r="L23" s="451"/>
      <c r="M23" s="451"/>
      <c r="N23" s="451"/>
      <c r="O23" s="451"/>
      <c r="P23" s="55"/>
    </row>
    <row r="24" spans="1:16" ht="15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55"/>
    </row>
    <row r="25" spans="1:16">
      <c r="A25" s="464"/>
      <c r="B25" s="465"/>
      <c r="C25" s="465"/>
      <c r="D25" s="465"/>
      <c r="E25" s="465"/>
      <c r="F25" s="465"/>
      <c r="G25" s="465"/>
      <c r="H25" s="465"/>
      <c r="I25" s="465"/>
      <c r="J25" s="465"/>
      <c r="K25" s="465"/>
      <c r="L25" s="465"/>
      <c r="M25" s="465"/>
      <c r="N25" s="465"/>
      <c r="O25" s="465"/>
      <c r="P25" s="465"/>
    </row>
    <row r="26" spans="1:16">
      <c r="A26" s="465"/>
      <c r="B26" s="465"/>
      <c r="C26" s="465"/>
      <c r="D26" s="465"/>
      <c r="E26" s="465"/>
      <c r="F26" s="465"/>
      <c r="G26" s="465"/>
      <c r="H26" s="465"/>
      <c r="I26" s="465"/>
      <c r="J26" s="465"/>
      <c r="K26" s="465"/>
      <c r="L26" s="465"/>
      <c r="M26" s="465"/>
      <c r="N26" s="465"/>
      <c r="O26" s="465"/>
      <c r="P26" s="465"/>
    </row>
    <row r="27" spans="1:16">
      <c r="A27" s="465"/>
      <c r="B27" s="465"/>
      <c r="C27" s="465"/>
      <c r="D27" s="465"/>
      <c r="E27" s="465"/>
      <c r="F27" s="465"/>
      <c r="G27" s="465"/>
      <c r="H27" s="465"/>
      <c r="I27" s="465"/>
      <c r="J27" s="465"/>
      <c r="K27" s="465"/>
      <c r="L27" s="465"/>
      <c r="M27" s="465"/>
      <c r="N27" s="465"/>
      <c r="O27" s="465"/>
      <c r="P27" s="465"/>
    </row>
    <row r="28" spans="1:16">
      <c r="A28" s="465"/>
      <c r="B28" s="465"/>
      <c r="C28" s="465"/>
      <c r="D28" s="465"/>
      <c r="E28" s="465"/>
      <c r="F28" s="465"/>
      <c r="G28" s="465"/>
      <c r="H28" s="465"/>
      <c r="I28" s="465"/>
      <c r="J28" s="465"/>
      <c r="K28" s="465"/>
      <c r="L28" s="465"/>
      <c r="M28" s="465"/>
      <c r="N28" s="465"/>
      <c r="O28" s="465"/>
      <c r="P28" s="465"/>
    </row>
    <row r="29" spans="1:16">
      <c r="A29" s="465"/>
      <c r="B29" s="465"/>
      <c r="C29" s="465"/>
      <c r="D29" s="465"/>
      <c r="E29" s="465"/>
      <c r="F29" s="465"/>
      <c r="G29" s="465"/>
      <c r="H29" s="465"/>
      <c r="I29" s="465"/>
      <c r="J29" s="465"/>
      <c r="K29" s="465"/>
      <c r="L29" s="465"/>
      <c r="M29" s="465"/>
      <c r="N29" s="465"/>
      <c r="O29" s="465"/>
      <c r="P29" s="465"/>
    </row>
    <row r="30" spans="1:16">
      <c r="A30" s="465"/>
      <c r="B30" s="465"/>
      <c r="C30" s="465"/>
      <c r="D30" s="465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</row>
    <row r="31" spans="1:16" ht="15">
      <c r="A31" s="78"/>
      <c r="B31" s="452" t="s">
        <v>747</v>
      </c>
      <c r="C31" s="452"/>
      <c r="D31" s="452"/>
      <c r="E31" s="452"/>
      <c r="F31" s="452"/>
      <c r="G31" s="452"/>
      <c r="H31" s="452"/>
      <c r="I31" s="452"/>
      <c r="J31" s="452"/>
      <c r="K31" s="452"/>
      <c r="L31" s="452"/>
      <c r="M31" s="452"/>
      <c r="N31" s="452"/>
      <c r="O31" s="452"/>
      <c r="P31" s="452"/>
    </row>
    <row r="32" spans="1:16" ht="15">
      <c r="A32" s="78"/>
      <c r="B32" s="455" t="s">
        <v>827</v>
      </c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55"/>
    </row>
    <row r="33" spans="1:16" ht="15">
      <c r="A33" s="55"/>
      <c r="B33" s="454" t="s">
        <v>826</v>
      </c>
      <c r="C33" s="454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55"/>
    </row>
    <row r="34" spans="1:16" ht="15">
      <c r="A34" s="55"/>
      <c r="B34" s="458" t="s">
        <v>341</v>
      </c>
      <c r="C34" s="456"/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456"/>
      <c r="P34" s="55"/>
    </row>
    <row r="35" spans="1:16">
      <c r="A35" s="55"/>
      <c r="B35" s="459" t="s">
        <v>825</v>
      </c>
      <c r="C35" s="460"/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55"/>
    </row>
    <row r="36" spans="1:16">
      <c r="A36" s="55"/>
      <c r="B36" s="453"/>
      <c r="C36" s="453"/>
      <c r="D36" s="453"/>
      <c r="E36" s="453"/>
      <c r="F36" s="453"/>
      <c r="G36" s="453"/>
      <c r="H36" s="453"/>
      <c r="I36" s="453"/>
      <c r="J36" s="453"/>
      <c r="K36" s="453"/>
      <c r="L36" s="453"/>
      <c r="M36" s="453"/>
      <c r="N36" s="453"/>
      <c r="O36" s="453"/>
      <c r="P36" s="55"/>
    </row>
    <row r="37" spans="1:16" ht="15">
      <c r="A37" s="55"/>
      <c r="B37" s="455" t="s">
        <v>829</v>
      </c>
      <c r="C37" s="456"/>
      <c r="D37" s="456"/>
      <c r="E37" s="456"/>
      <c r="F37" s="456"/>
      <c r="G37" s="456"/>
      <c r="H37" s="456"/>
      <c r="I37" s="456"/>
      <c r="J37" s="456"/>
      <c r="K37" s="456"/>
      <c r="L37" s="456"/>
      <c r="M37" s="456"/>
      <c r="N37" s="456"/>
      <c r="O37" s="456"/>
      <c r="P37" s="55"/>
    </row>
    <row r="38" spans="1:16" ht="15">
      <c r="A38" s="78"/>
      <c r="B38" s="454" t="s">
        <v>830</v>
      </c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4"/>
      <c r="N38" s="454"/>
      <c r="O38" s="454"/>
      <c r="P38" s="55"/>
    </row>
    <row r="39" spans="1:16" ht="15">
      <c r="A39" s="78"/>
      <c r="B39" s="454" t="s">
        <v>831</v>
      </c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55"/>
    </row>
    <row r="40" spans="1:16" ht="15.75" customHeight="1">
      <c r="A40" s="78"/>
      <c r="B40" s="79"/>
      <c r="C40" s="442" t="s">
        <v>685</v>
      </c>
      <c r="D40" s="444" t="s">
        <v>674</v>
      </c>
      <c r="E40" s="445"/>
      <c r="F40" s="445"/>
      <c r="G40" s="446"/>
      <c r="H40" s="444" t="s">
        <v>676</v>
      </c>
      <c r="I40" s="445"/>
      <c r="J40" s="446"/>
      <c r="K40" s="444" t="s">
        <v>684</v>
      </c>
      <c r="L40" s="445"/>
      <c r="M40" s="446"/>
      <c r="N40" s="444" t="s">
        <v>680</v>
      </c>
      <c r="O40" s="446"/>
      <c r="P40" s="55"/>
    </row>
    <row r="41" spans="1:16" ht="41.25" customHeight="1">
      <c r="A41" s="78"/>
      <c r="B41" s="50" t="s">
        <v>44</v>
      </c>
      <c r="C41" s="443"/>
      <c r="D41" s="81" t="s">
        <v>0</v>
      </c>
      <c r="E41" s="81" t="s">
        <v>61</v>
      </c>
      <c r="F41" s="81" t="s">
        <v>59</v>
      </c>
      <c r="G41" s="81" t="s">
        <v>60</v>
      </c>
      <c r="H41" s="81" t="s">
        <v>601</v>
      </c>
      <c r="I41" s="81" t="s">
        <v>598</v>
      </c>
      <c r="J41" s="81" t="s">
        <v>701</v>
      </c>
      <c r="K41" s="81" t="s">
        <v>683</v>
      </c>
      <c r="L41" s="81" t="s">
        <v>45</v>
      </c>
      <c r="M41" s="81" t="s">
        <v>25</v>
      </c>
      <c r="N41" s="82" t="s">
        <v>307</v>
      </c>
      <c r="O41" s="81" t="s">
        <v>319</v>
      </c>
      <c r="P41" s="55"/>
    </row>
    <row r="42" spans="1:16" ht="15.75">
      <c r="A42" s="78"/>
      <c r="B42" s="83">
        <v>1</v>
      </c>
      <c r="C42" s="84" t="s">
        <v>832</v>
      </c>
      <c r="D42" s="85" t="s">
        <v>7</v>
      </c>
      <c r="E42" s="85" t="s">
        <v>588</v>
      </c>
      <c r="F42" s="85" t="s">
        <v>73</v>
      </c>
      <c r="G42" s="85" t="s">
        <v>108</v>
      </c>
      <c r="H42" s="85" t="s">
        <v>30</v>
      </c>
      <c r="I42" s="85" t="s">
        <v>118</v>
      </c>
      <c r="J42" s="85" t="s">
        <v>30</v>
      </c>
      <c r="K42" s="83">
        <v>6</v>
      </c>
      <c r="L42" s="86">
        <v>7</v>
      </c>
      <c r="M42" s="87">
        <v>42</v>
      </c>
      <c r="N42" s="88">
        <v>3</v>
      </c>
      <c r="O42" s="89">
        <v>4</v>
      </c>
      <c r="P42" s="55"/>
    </row>
    <row r="43" spans="1:16" ht="30">
      <c r="A43" s="78"/>
      <c r="B43" s="83">
        <v>1</v>
      </c>
      <c r="C43" s="84" t="s">
        <v>745</v>
      </c>
      <c r="D43" s="85" t="s">
        <v>9</v>
      </c>
      <c r="E43" s="85" t="s">
        <v>589</v>
      </c>
      <c r="F43" s="85" t="s">
        <v>73</v>
      </c>
      <c r="G43" s="85" t="s">
        <v>108</v>
      </c>
      <c r="H43" s="85" t="s">
        <v>283</v>
      </c>
      <c r="I43" s="85" t="s">
        <v>30</v>
      </c>
      <c r="J43" s="85" t="s">
        <v>30</v>
      </c>
      <c r="K43" s="83">
        <v>3</v>
      </c>
      <c r="L43" s="86">
        <v>5</v>
      </c>
      <c r="M43" s="87">
        <v>15</v>
      </c>
      <c r="N43" s="88" t="s">
        <v>30</v>
      </c>
      <c r="O43" s="89" t="s">
        <v>30</v>
      </c>
      <c r="P43" s="55"/>
    </row>
    <row r="44" spans="1:16" ht="15">
      <c r="A44" s="78"/>
      <c r="B44" s="441"/>
      <c r="C44" s="441"/>
      <c r="D44" s="441"/>
      <c r="E44" s="441"/>
      <c r="F44" s="441"/>
      <c r="G44" s="441"/>
      <c r="H44" s="441"/>
      <c r="I44" s="441"/>
      <c r="J44" s="441"/>
      <c r="K44" s="441"/>
      <c r="L44" s="441"/>
      <c r="M44" s="441"/>
      <c r="N44" s="441"/>
      <c r="O44" s="441"/>
      <c r="P44" s="55"/>
    </row>
    <row r="45" spans="1:16" ht="15">
      <c r="A45" s="55"/>
      <c r="B45" s="448" t="s">
        <v>833</v>
      </c>
      <c r="C45" s="449"/>
      <c r="D45" s="449"/>
      <c r="E45" s="449"/>
      <c r="F45" s="449"/>
      <c r="G45" s="449"/>
      <c r="H45" s="449"/>
      <c r="I45" s="449"/>
      <c r="J45" s="449"/>
      <c r="K45" s="449"/>
      <c r="L45" s="449"/>
      <c r="M45" s="449"/>
      <c r="N45" s="449"/>
      <c r="O45" s="450"/>
      <c r="P45" s="94"/>
    </row>
    <row r="46" spans="1:16" ht="15.75">
      <c r="A46" s="55"/>
      <c r="B46" s="447" t="s">
        <v>834</v>
      </c>
      <c r="C46" s="447"/>
      <c r="D46" s="447"/>
      <c r="E46" s="447"/>
      <c r="F46" s="447"/>
      <c r="G46" s="447"/>
      <c r="H46" s="447"/>
      <c r="I46" s="447"/>
      <c r="J46" s="447"/>
      <c r="K46" s="447"/>
      <c r="L46" s="447"/>
      <c r="M46" s="447"/>
      <c r="N46" s="447"/>
      <c r="O46" s="447"/>
      <c r="P46" s="94"/>
    </row>
    <row r="47" spans="1:16" ht="15">
      <c r="A47" s="78"/>
      <c r="B47" s="466" t="s">
        <v>846</v>
      </c>
      <c r="C47" s="466"/>
      <c r="D47" s="466"/>
      <c r="E47" s="466"/>
      <c r="F47" s="466"/>
      <c r="G47" s="466"/>
      <c r="H47" s="466"/>
      <c r="I47" s="466"/>
      <c r="J47" s="466"/>
      <c r="K47" s="466"/>
      <c r="L47" s="466"/>
      <c r="M47" s="466"/>
      <c r="N47" s="466"/>
      <c r="O47" s="466"/>
      <c r="P47" s="94"/>
    </row>
    <row r="48" spans="1:16" ht="15">
      <c r="A48" s="78"/>
      <c r="B48" s="466"/>
      <c r="C48" s="466"/>
      <c r="D48" s="466"/>
      <c r="E48" s="466"/>
      <c r="F48" s="466"/>
      <c r="G48" s="466"/>
      <c r="H48" s="466"/>
      <c r="I48" s="466"/>
      <c r="J48" s="466"/>
      <c r="K48" s="466"/>
      <c r="L48" s="466"/>
      <c r="M48" s="466"/>
      <c r="N48" s="466"/>
      <c r="O48" s="466"/>
      <c r="P48" s="94"/>
    </row>
    <row r="49" spans="1:16" ht="15">
      <c r="A49" s="55"/>
      <c r="B49" s="448" t="s">
        <v>835</v>
      </c>
      <c r="C49" s="449"/>
      <c r="D49" s="449"/>
      <c r="E49" s="449"/>
      <c r="F49" s="449"/>
      <c r="G49" s="449"/>
      <c r="H49" s="449"/>
      <c r="I49" s="449"/>
      <c r="J49" s="449"/>
      <c r="K49" s="449"/>
      <c r="L49" s="449"/>
      <c r="M49" s="449"/>
      <c r="N49" s="449"/>
      <c r="O49" s="450"/>
      <c r="P49" s="94"/>
    </row>
    <row r="50" spans="1:16" ht="15">
      <c r="A50" s="55"/>
      <c r="B50" s="451" t="s">
        <v>844</v>
      </c>
      <c r="C50" s="451"/>
      <c r="D50" s="451"/>
      <c r="E50" s="451"/>
      <c r="F50" s="451"/>
      <c r="G50" s="451"/>
      <c r="H50" s="451"/>
      <c r="I50" s="451"/>
      <c r="J50" s="451"/>
      <c r="K50" s="451"/>
      <c r="L50" s="451"/>
      <c r="M50" s="451"/>
      <c r="N50" s="451"/>
      <c r="O50" s="451"/>
      <c r="P50" s="94"/>
    </row>
    <row r="51" spans="1:16" ht="15">
      <c r="A51" s="78"/>
      <c r="B51" s="451" t="s">
        <v>836</v>
      </c>
      <c r="C51" s="451"/>
      <c r="D51" s="451"/>
      <c r="E51" s="451"/>
      <c r="F51" s="451"/>
      <c r="G51" s="451"/>
      <c r="H51" s="451"/>
      <c r="I51" s="451"/>
      <c r="J51" s="451"/>
      <c r="K51" s="451"/>
      <c r="L51" s="451"/>
      <c r="M51" s="451"/>
      <c r="N51" s="451"/>
      <c r="O51" s="451"/>
      <c r="P51" s="94"/>
    </row>
    <row r="52" spans="1:16" ht="15">
      <c r="A52" s="78"/>
      <c r="B52" s="451" t="s">
        <v>845</v>
      </c>
      <c r="C52" s="451"/>
      <c r="D52" s="451"/>
      <c r="E52" s="451"/>
      <c r="F52" s="451"/>
      <c r="G52" s="451"/>
      <c r="H52" s="451"/>
      <c r="I52" s="451"/>
      <c r="J52" s="451"/>
      <c r="K52" s="451"/>
      <c r="L52" s="451"/>
      <c r="M52" s="451"/>
      <c r="N52" s="451"/>
      <c r="O52" s="451"/>
      <c r="P52" s="94"/>
    </row>
    <row r="53" spans="1:16" ht="15">
      <c r="A53" s="78"/>
      <c r="B53" s="451"/>
      <c r="C53" s="451"/>
      <c r="D53" s="451"/>
      <c r="E53" s="451"/>
      <c r="F53" s="451"/>
      <c r="G53" s="451"/>
      <c r="H53" s="451"/>
      <c r="I53" s="451"/>
      <c r="J53" s="451"/>
      <c r="K53" s="451"/>
      <c r="L53" s="451"/>
      <c r="M53" s="451"/>
      <c r="N53" s="451"/>
      <c r="O53" s="451"/>
      <c r="P53" s="94"/>
    </row>
    <row r="54" spans="1:16" ht="1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94"/>
    </row>
    <row r="55" spans="1:16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</row>
    <row r="56" spans="1:16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</row>
    <row r="57" spans="1:16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</row>
    <row r="58" spans="1:16" ht="15">
      <c r="A58" s="78"/>
      <c r="B58" s="452" t="s">
        <v>1135</v>
      </c>
      <c r="C58" s="452"/>
      <c r="D58" s="452"/>
      <c r="E58" s="452"/>
      <c r="F58" s="452"/>
      <c r="G58" s="452"/>
      <c r="H58" s="452"/>
      <c r="I58" s="452"/>
      <c r="J58" s="452"/>
      <c r="K58" s="452"/>
      <c r="L58" s="452"/>
      <c r="M58" s="452"/>
      <c r="N58" s="452"/>
      <c r="O58" s="452"/>
      <c r="P58" s="452"/>
    </row>
    <row r="59" spans="1:16" ht="15">
      <c r="A59" s="78"/>
      <c r="B59" s="455" t="s">
        <v>1136</v>
      </c>
      <c r="C59" s="456"/>
      <c r="D59" s="456"/>
      <c r="E59" s="456"/>
      <c r="F59" s="456"/>
      <c r="G59" s="456"/>
      <c r="H59" s="456"/>
      <c r="I59" s="456"/>
      <c r="J59" s="456"/>
      <c r="K59" s="456"/>
      <c r="L59" s="456"/>
      <c r="M59" s="456"/>
      <c r="N59" s="456"/>
      <c r="O59" s="456"/>
      <c r="P59" s="55"/>
    </row>
    <row r="60" spans="1:16" ht="15">
      <c r="A60" s="55"/>
      <c r="B60" s="454" t="s">
        <v>1137</v>
      </c>
      <c r="C60" s="454"/>
      <c r="D60" s="454"/>
      <c r="E60" s="454"/>
      <c r="F60" s="454"/>
      <c r="G60" s="454"/>
      <c r="H60" s="454"/>
      <c r="I60" s="454"/>
      <c r="J60" s="454"/>
      <c r="K60" s="454"/>
      <c r="L60" s="454"/>
      <c r="M60" s="454"/>
      <c r="N60" s="454"/>
      <c r="O60" s="454"/>
      <c r="P60" s="55"/>
    </row>
    <row r="61" spans="1:16" ht="15">
      <c r="A61" s="55"/>
      <c r="B61" s="458" t="s">
        <v>341</v>
      </c>
      <c r="C61" s="456"/>
      <c r="D61" s="456"/>
      <c r="E61" s="456"/>
      <c r="F61" s="456"/>
      <c r="G61" s="456"/>
      <c r="H61" s="456"/>
      <c r="I61" s="456"/>
      <c r="J61" s="456"/>
      <c r="K61" s="456"/>
      <c r="L61" s="456"/>
      <c r="M61" s="456"/>
      <c r="N61" s="456"/>
      <c r="O61" s="456"/>
      <c r="P61" s="55"/>
    </row>
    <row r="62" spans="1:16">
      <c r="A62" s="55"/>
      <c r="B62" s="459" t="s">
        <v>825</v>
      </c>
      <c r="C62" s="460"/>
      <c r="D62" s="460"/>
      <c r="E62" s="460"/>
      <c r="F62" s="460"/>
      <c r="G62" s="460"/>
      <c r="H62" s="460"/>
      <c r="I62" s="460"/>
      <c r="J62" s="460"/>
      <c r="K62" s="460"/>
      <c r="L62" s="460"/>
      <c r="M62" s="460"/>
      <c r="N62" s="460"/>
      <c r="O62" s="460"/>
      <c r="P62" s="55"/>
    </row>
    <row r="63" spans="1:16">
      <c r="A63" s="55"/>
      <c r="B63" s="453"/>
      <c r="C63" s="453"/>
      <c r="D63" s="453"/>
      <c r="E63" s="453"/>
      <c r="F63" s="453"/>
      <c r="G63" s="453"/>
      <c r="H63" s="453"/>
      <c r="I63" s="453"/>
      <c r="J63" s="453"/>
      <c r="K63" s="453"/>
      <c r="L63" s="453"/>
      <c r="M63" s="453"/>
      <c r="N63" s="453"/>
      <c r="O63" s="453"/>
      <c r="P63" s="55"/>
    </row>
    <row r="64" spans="1:16" ht="15">
      <c r="A64" s="55"/>
      <c r="B64" s="455" t="s">
        <v>1138</v>
      </c>
      <c r="C64" s="456"/>
      <c r="D64" s="456"/>
      <c r="E64" s="456"/>
      <c r="F64" s="456"/>
      <c r="G64" s="456"/>
      <c r="H64" s="456"/>
      <c r="I64" s="456"/>
      <c r="J64" s="456"/>
      <c r="K64" s="456"/>
      <c r="L64" s="456"/>
      <c r="M64" s="456"/>
      <c r="N64" s="456"/>
      <c r="O64" s="456"/>
      <c r="P64" s="55"/>
    </row>
    <row r="65" spans="1:16" ht="15">
      <c r="A65" s="78"/>
      <c r="B65" s="454" t="s">
        <v>1139</v>
      </c>
      <c r="C65" s="454"/>
      <c r="D65" s="454"/>
      <c r="E65" s="454"/>
      <c r="F65" s="454"/>
      <c r="G65" s="454"/>
      <c r="H65" s="454"/>
      <c r="I65" s="454"/>
      <c r="J65" s="454"/>
      <c r="K65" s="454"/>
      <c r="L65" s="454"/>
      <c r="M65" s="454"/>
      <c r="N65" s="454"/>
      <c r="O65" s="454"/>
      <c r="P65" s="55"/>
    </row>
    <row r="66" spans="1:16" ht="15">
      <c r="A66" s="78"/>
      <c r="B66" s="454" t="s">
        <v>1140</v>
      </c>
      <c r="C66" s="454"/>
      <c r="D66" s="454"/>
      <c r="E66" s="454"/>
      <c r="F66" s="454"/>
      <c r="G66" s="454"/>
      <c r="H66" s="454"/>
      <c r="I66" s="454"/>
      <c r="J66" s="454"/>
      <c r="K66" s="454"/>
      <c r="L66" s="454"/>
      <c r="M66" s="454"/>
      <c r="N66" s="454"/>
      <c r="O66" s="454"/>
      <c r="P66" s="55"/>
    </row>
    <row r="67" spans="1:16" ht="15.75" customHeight="1">
      <c r="A67" s="78"/>
      <c r="B67" s="49"/>
      <c r="C67" s="467" t="s">
        <v>126</v>
      </c>
      <c r="D67" s="469" t="s">
        <v>675</v>
      </c>
      <c r="E67" s="470"/>
      <c r="F67" s="470"/>
      <c r="G67" s="471"/>
      <c r="H67" s="469" t="s">
        <v>677</v>
      </c>
      <c r="I67" s="470"/>
      <c r="J67" s="471"/>
      <c r="K67" s="469" t="s">
        <v>678</v>
      </c>
      <c r="L67" s="470"/>
      <c r="M67" s="471"/>
      <c r="N67" s="469" t="s">
        <v>682</v>
      </c>
      <c r="O67" s="471"/>
      <c r="P67" s="55"/>
    </row>
    <row r="68" spans="1:16" ht="45">
      <c r="A68" s="78"/>
      <c r="B68" s="50" t="s">
        <v>125</v>
      </c>
      <c r="C68" s="468"/>
      <c r="D68" s="51" t="s">
        <v>127</v>
      </c>
      <c r="E68" s="51" t="s">
        <v>130</v>
      </c>
      <c r="F68" s="51" t="s">
        <v>128</v>
      </c>
      <c r="G68" s="51" t="s">
        <v>129</v>
      </c>
      <c r="H68" s="51" t="s">
        <v>603</v>
      </c>
      <c r="I68" s="51" t="s">
        <v>599</v>
      </c>
      <c r="J68" s="51" t="s">
        <v>702</v>
      </c>
      <c r="K68" s="51" t="s">
        <v>133</v>
      </c>
      <c r="L68" s="51" t="s">
        <v>134</v>
      </c>
      <c r="M68" s="51" t="s">
        <v>135</v>
      </c>
      <c r="N68" s="52" t="s">
        <v>307</v>
      </c>
      <c r="O68" s="51" t="s">
        <v>308</v>
      </c>
      <c r="P68" s="55"/>
    </row>
    <row r="69" spans="1:16" ht="30">
      <c r="A69" s="78"/>
      <c r="B69" s="83">
        <v>1</v>
      </c>
      <c r="C69" s="84" t="s">
        <v>1141</v>
      </c>
      <c r="D69" s="85" t="s">
        <v>7</v>
      </c>
      <c r="E69" s="85" t="s">
        <v>154</v>
      </c>
      <c r="F69" s="85" t="s">
        <v>1142</v>
      </c>
      <c r="G69" s="85" t="s">
        <v>151</v>
      </c>
      <c r="H69" s="85" t="s">
        <v>30</v>
      </c>
      <c r="I69" s="85" t="s">
        <v>1143</v>
      </c>
      <c r="J69" s="85" t="s">
        <v>30</v>
      </c>
      <c r="K69" s="83">
        <v>6</v>
      </c>
      <c r="L69" s="86">
        <v>7</v>
      </c>
      <c r="M69" s="87">
        <v>42</v>
      </c>
      <c r="N69" s="88">
        <v>3</v>
      </c>
      <c r="O69" s="89">
        <v>4</v>
      </c>
      <c r="P69" s="55"/>
    </row>
    <row r="70" spans="1:16" ht="30">
      <c r="A70" s="78"/>
      <c r="B70" s="83">
        <v>1</v>
      </c>
      <c r="C70" s="84" t="s">
        <v>1144</v>
      </c>
      <c r="D70" s="85" t="s">
        <v>9</v>
      </c>
      <c r="E70" s="85" t="s">
        <v>153</v>
      </c>
      <c r="F70" s="85" t="s">
        <v>1142</v>
      </c>
      <c r="G70" s="85" t="s">
        <v>151</v>
      </c>
      <c r="H70" s="85" t="s">
        <v>284</v>
      </c>
      <c r="I70" s="85" t="s">
        <v>30</v>
      </c>
      <c r="J70" s="85" t="s">
        <v>30</v>
      </c>
      <c r="K70" s="83">
        <v>3</v>
      </c>
      <c r="L70" s="86">
        <v>5</v>
      </c>
      <c r="M70" s="87">
        <v>15</v>
      </c>
      <c r="N70" s="88" t="s">
        <v>30</v>
      </c>
      <c r="O70" s="89" t="s">
        <v>30</v>
      </c>
      <c r="P70" s="55"/>
    </row>
    <row r="71" spans="1:16" ht="15">
      <c r="A71" s="78"/>
      <c r="B71" s="441"/>
      <c r="C71" s="441"/>
      <c r="D71" s="441"/>
      <c r="E71" s="441"/>
      <c r="F71" s="441"/>
      <c r="G71" s="441"/>
      <c r="H71" s="441"/>
      <c r="I71" s="441"/>
      <c r="J71" s="441"/>
      <c r="K71" s="441"/>
      <c r="L71" s="441"/>
      <c r="M71" s="441"/>
      <c r="N71" s="441"/>
      <c r="O71" s="441"/>
      <c r="P71" s="55"/>
    </row>
    <row r="72" spans="1:16" ht="15">
      <c r="A72" s="55"/>
      <c r="B72" s="448" t="s">
        <v>1145</v>
      </c>
      <c r="C72" s="449"/>
      <c r="D72" s="449"/>
      <c r="E72" s="449"/>
      <c r="F72" s="449"/>
      <c r="G72" s="449"/>
      <c r="H72" s="449"/>
      <c r="I72" s="449"/>
      <c r="J72" s="449"/>
      <c r="K72" s="449"/>
      <c r="L72" s="449"/>
      <c r="M72" s="449"/>
      <c r="N72" s="449"/>
      <c r="O72" s="450"/>
      <c r="P72" s="55"/>
    </row>
    <row r="73" spans="1:16" ht="15.75">
      <c r="A73" s="55"/>
      <c r="B73" s="447" t="s">
        <v>1146</v>
      </c>
      <c r="C73" s="447"/>
      <c r="D73" s="447"/>
      <c r="E73" s="447"/>
      <c r="F73" s="447"/>
      <c r="G73" s="447"/>
      <c r="H73" s="447"/>
      <c r="I73" s="447"/>
      <c r="J73" s="447"/>
      <c r="K73" s="447"/>
      <c r="L73" s="447"/>
      <c r="M73" s="447"/>
      <c r="N73" s="447"/>
      <c r="O73" s="447"/>
      <c r="P73" s="55"/>
    </row>
    <row r="74" spans="1:16" ht="15">
      <c r="A74" s="78"/>
      <c r="B74" s="466" t="s">
        <v>1147</v>
      </c>
      <c r="C74" s="466"/>
      <c r="D74" s="466"/>
      <c r="E74" s="466"/>
      <c r="F74" s="466"/>
      <c r="G74" s="466"/>
      <c r="H74" s="466"/>
      <c r="I74" s="466"/>
      <c r="J74" s="466"/>
      <c r="K74" s="466"/>
      <c r="L74" s="466"/>
      <c r="M74" s="466"/>
      <c r="N74" s="466"/>
      <c r="O74" s="466"/>
      <c r="P74" s="55"/>
    </row>
    <row r="75" spans="1:16" ht="15">
      <c r="A75" s="78"/>
      <c r="B75" s="466"/>
      <c r="C75" s="466"/>
      <c r="D75" s="466"/>
      <c r="E75" s="466"/>
      <c r="F75" s="466"/>
      <c r="G75" s="466"/>
      <c r="H75" s="466"/>
      <c r="I75" s="466"/>
      <c r="J75" s="466"/>
      <c r="K75" s="466"/>
      <c r="L75" s="466"/>
      <c r="M75" s="466"/>
      <c r="N75" s="466"/>
      <c r="O75" s="466"/>
      <c r="P75" s="55"/>
    </row>
    <row r="76" spans="1:16" ht="15">
      <c r="A76" s="55"/>
      <c r="B76" s="448" t="s">
        <v>1148</v>
      </c>
      <c r="C76" s="449"/>
      <c r="D76" s="449"/>
      <c r="E76" s="449"/>
      <c r="F76" s="449"/>
      <c r="G76" s="449"/>
      <c r="H76" s="449"/>
      <c r="I76" s="449"/>
      <c r="J76" s="449"/>
      <c r="K76" s="449"/>
      <c r="L76" s="449"/>
      <c r="M76" s="449"/>
      <c r="N76" s="449"/>
      <c r="O76" s="450"/>
      <c r="P76" s="55"/>
    </row>
    <row r="77" spans="1:16" ht="15">
      <c r="A77" s="55"/>
      <c r="B77" s="451" t="s">
        <v>1149</v>
      </c>
      <c r="C77" s="451"/>
      <c r="D77" s="451"/>
      <c r="E77" s="451"/>
      <c r="F77" s="451"/>
      <c r="G77" s="451"/>
      <c r="H77" s="451"/>
      <c r="I77" s="451"/>
      <c r="J77" s="451"/>
      <c r="K77" s="451"/>
      <c r="L77" s="451"/>
      <c r="M77" s="451"/>
      <c r="N77" s="451"/>
      <c r="O77" s="451"/>
      <c r="P77" s="55"/>
    </row>
    <row r="78" spans="1:16" ht="15">
      <c r="A78" s="78"/>
      <c r="B78" s="451" t="s">
        <v>1150</v>
      </c>
      <c r="C78" s="451"/>
      <c r="D78" s="451"/>
      <c r="E78" s="451"/>
      <c r="F78" s="451"/>
      <c r="G78" s="451"/>
      <c r="H78" s="451"/>
      <c r="I78" s="451"/>
      <c r="J78" s="451"/>
      <c r="K78" s="451"/>
      <c r="L78" s="451"/>
      <c r="M78" s="451"/>
      <c r="N78" s="451"/>
      <c r="O78" s="451"/>
      <c r="P78" s="55"/>
    </row>
    <row r="79" spans="1:16" ht="15">
      <c r="A79" s="78"/>
      <c r="B79" s="451" t="s">
        <v>1151</v>
      </c>
      <c r="C79" s="451"/>
      <c r="D79" s="451"/>
      <c r="E79" s="451"/>
      <c r="F79" s="451"/>
      <c r="G79" s="451"/>
      <c r="H79" s="451"/>
      <c r="I79" s="451"/>
      <c r="J79" s="451"/>
      <c r="K79" s="451"/>
      <c r="L79" s="451"/>
      <c r="M79" s="451"/>
      <c r="N79" s="451"/>
      <c r="O79" s="451"/>
      <c r="P79" s="55"/>
    </row>
    <row r="80" spans="1:16" ht="15">
      <c r="A80" s="78"/>
      <c r="B80" s="451"/>
      <c r="C80" s="451"/>
      <c r="D80" s="451"/>
      <c r="E80" s="451"/>
      <c r="F80" s="451"/>
      <c r="G80" s="451"/>
      <c r="H80" s="451"/>
      <c r="I80" s="451"/>
      <c r="J80" s="451"/>
      <c r="K80" s="451"/>
      <c r="L80" s="451"/>
      <c r="M80" s="451"/>
      <c r="N80" s="451"/>
      <c r="O80" s="451"/>
      <c r="P80" s="55"/>
    </row>
    <row r="81" spans="1:16" ht="15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55"/>
    </row>
  </sheetData>
  <mergeCells count="73">
    <mergeCell ref="B77:O77"/>
    <mergeCell ref="B78:O78"/>
    <mergeCell ref="B79:O79"/>
    <mergeCell ref="B80:O80"/>
    <mergeCell ref="B71:O71"/>
    <mergeCell ref="B72:O72"/>
    <mergeCell ref="B73:O73"/>
    <mergeCell ref="B74:O74"/>
    <mergeCell ref="B75:O75"/>
    <mergeCell ref="B76:O76"/>
    <mergeCell ref="B63:O63"/>
    <mergeCell ref="B64:O64"/>
    <mergeCell ref="B65:O65"/>
    <mergeCell ref="B66:O66"/>
    <mergeCell ref="C67:C68"/>
    <mergeCell ref="D67:G67"/>
    <mergeCell ref="H67:J67"/>
    <mergeCell ref="K67:M67"/>
    <mergeCell ref="N67:O67"/>
    <mergeCell ref="B58:P58"/>
    <mergeCell ref="B59:O59"/>
    <mergeCell ref="B60:O60"/>
    <mergeCell ref="B61:O61"/>
    <mergeCell ref="B62:O62"/>
    <mergeCell ref="B51:O51"/>
    <mergeCell ref="B52:O52"/>
    <mergeCell ref="B53:O53"/>
    <mergeCell ref="B47:O47"/>
    <mergeCell ref="B48:O48"/>
    <mergeCell ref="B49:O49"/>
    <mergeCell ref="B50:O50"/>
    <mergeCell ref="B46:O46"/>
    <mergeCell ref="B4:O4"/>
    <mergeCell ref="B3:O3"/>
    <mergeCell ref="B8:O8"/>
    <mergeCell ref="B9:O9"/>
    <mergeCell ref="B5:O5"/>
    <mergeCell ref="B6:O6"/>
    <mergeCell ref="B14:O14"/>
    <mergeCell ref="B7:O7"/>
    <mergeCell ref="B32:O32"/>
    <mergeCell ref="B22:O22"/>
    <mergeCell ref="A25:P30"/>
    <mergeCell ref="B23:O23"/>
    <mergeCell ref="B17:O17"/>
    <mergeCell ref="B21:O21"/>
    <mergeCell ref="B18:O18"/>
    <mergeCell ref="B1:P1"/>
    <mergeCell ref="B2:O2"/>
    <mergeCell ref="B36:O36"/>
    <mergeCell ref="B38:O38"/>
    <mergeCell ref="B45:O45"/>
    <mergeCell ref="B39:O39"/>
    <mergeCell ref="B37:O37"/>
    <mergeCell ref="C10:C11"/>
    <mergeCell ref="D10:G10"/>
    <mergeCell ref="H10:J10"/>
    <mergeCell ref="K10:M10"/>
    <mergeCell ref="N10:O10"/>
    <mergeCell ref="B15:O15"/>
    <mergeCell ref="B33:O33"/>
    <mergeCell ref="B34:O34"/>
    <mergeCell ref="B35:O35"/>
    <mergeCell ref="B16:O16"/>
    <mergeCell ref="B19:O19"/>
    <mergeCell ref="B20:O20"/>
    <mergeCell ref="B31:P31"/>
    <mergeCell ref="N40:O40"/>
    <mergeCell ref="B44:O44"/>
    <mergeCell ref="C40:C41"/>
    <mergeCell ref="D40:G40"/>
    <mergeCell ref="H40:J40"/>
    <mergeCell ref="K40:M40"/>
  </mergeCells>
  <phoneticPr fontId="0" type="noConversion"/>
  <dataValidations count="7">
    <dataValidation type="list" allowBlank="1" showInputMessage="1" showErrorMessage="1" sqref="G12:G13 G42:G43 G69:G70">
      <formula1>Training</formula1>
    </dataValidation>
    <dataValidation type="list" allowBlank="1" showInputMessage="1" showErrorMessage="1" sqref="F12:F13 F42:F43 F69:F70">
      <formula1>Quality</formula1>
    </dataValidation>
    <dataValidation type="list" allowBlank="1" showInputMessage="1" showErrorMessage="1" sqref="D12:D13 D42:D43 D69:D70">
      <formula1>Type</formula1>
    </dataValidation>
    <dataValidation type="list" allowBlank="1" showInputMessage="1" showErrorMessage="1" sqref="E12:E13 E42:E43 E69:E70">
      <formula1>Armure</formula1>
    </dataValidation>
    <dataValidation type="list" allowBlank="1" showInputMessage="1" showErrorMessage="1" sqref="I12:I13 I42:I43 I69:I70">
      <formula1>Combat</formula1>
    </dataValidation>
    <dataValidation type="list" allowBlank="1" showInputMessage="1" showErrorMessage="1" sqref="H12:H13 H42:H43 H69:H70">
      <formula1>Tir</formula1>
    </dataValidation>
    <dataValidation type="list" allowBlank="1" showInputMessage="1" showErrorMessage="1" sqref="J12:J13 J42:J43 J69:J70">
      <formula1>Divers</formula1>
    </dataValidation>
  </dataValidations>
  <hyperlinks>
    <hyperlink ref="B4" r:id="rId1" display="un example est diponible sur l'exellent site : http://www.fieldofglory.fr/spip.php?article2"/>
    <hyperlink ref="B34" r:id="rId2" display="un example est diponible sur l'exellent site : http://www.fieldofglory.fr/spip.php?article2"/>
    <hyperlink ref="B5" r:id="rId3"/>
    <hyperlink ref="B35" r:id="rId4"/>
    <hyperlink ref="B61" r:id="rId5" display="un example est diponible sur l'exellent site : http://www.fieldofglory.fr/spip.php?article2"/>
    <hyperlink ref="B62" r:id="rId6"/>
  </hyperlinks>
  <pageMargins left="0.7" right="0.7" top="0.75" bottom="0.75" header="0.3" footer="0.3"/>
  <pageSetup paperSize="9" orientation="portrait" r:id="rId7"/>
  <legacy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2"/>
  </sheetPr>
  <dimension ref="A1:V92"/>
  <sheetViews>
    <sheetView workbookViewId="0">
      <pane ySplit="2" topLeftCell="A3" activePane="bottomLeft" state="frozen"/>
      <selection activeCell="C25" sqref="C25"/>
      <selection pane="bottomLeft" activeCell="C25" sqref="C25"/>
    </sheetView>
  </sheetViews>
  <sheetFormatPr defaultRowHeight="12.75"/>
  <cols>
    <col min="1" max="1" width="1.85546875" customWidth="1"/>
    <col min="2" max="2" width="5.7109375" style="70" customWidth="1"/>
    <col min="3" max="3" width="3.140625" style="70" customWidth="1"/>
    <col min="4" max="4" width="8" style="70" customWidth="1"/>
    <col min="5" max="5" width="13.42578125" style="70" customWidth="1"/>
    <col min="6" max="6" width="11.42578125" customWidth="1"/>
    <col min="7" max="7" width="10.42578125" bestFit="1" customWidth="1"/>
    <col min="8" max="8" width="4.85546875" bestFit="1" customWidth="1"/>
    <col min="9" max="9" width="7" bestFit="1" customWidth="1"/>
    <col min="10" max="10" width="7.42578125" bestFit="1" customWidth="1"/>
    <col min="11" max="11" width="9.42578125" bestFit="1" customWidth="1"/>
    <col min="12" max="12" width="8" bestFit="1" customWidth="1"/>
    <col min="13" max="13" width="10" bestFit="1" customWidth="1"/>
    <col min="14" max="14" width="9.5703125" bestFit="1" customWidth="1"/>
    <col min="15" max="15" width="6.5703125" bestFit="1" customWidth="1"/>
    <col min="16" max="16" width="9.28515625" bestFit="1" customWidth="1"/>
    <col min="17" max="17" width="7.7109375" customWidth="1"/>
    <col min="18" max="18" width="8.42578125" customWidth="1"/>
    <col min="19" max="19" width="9.7109375" customWidth="1"/>
    <col min="20" max="20" width="8.42578125" customWidth="1"/>
    <col min="21" max="21" width="1.7109375" customWidth="1"/>
    <col min="22" max="256" width="11.42578125" customWidth="1"/>
  </cols>
  <sheetData>
    <row r="1" spans="1:22">
      <c r="A1" s="55"/>
      <c r="B1" s="55"/>
      <c r="C1" s="55"/>
      <c r="D1" s="55"/>
      <c r="E1" s="55"/>
      <c r="F1" s="452" t="s">
        <v>265</v>
      </c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55"/>
    </row>
    <row r="2" spans="1:22">
      <c r="A2" s="58"/>
      <c r="B2" s="479" t="s">
        <v>740</v>
      </c>
      <c r="C2" s="480"/>
      <c r="D2" s="72"/>
      <c r="E2" s="72"/>
      <c r="F2" s="490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55"/>
    </row>
    <row r="3" spans="1:22">
      <c r="A3" s="55"/>
      <c r="B3" s="73">
        <v>3</v>
      </c>
      <c r="C3" s="93" t="s">
        <v>30</v>
      </c>
      <c r="D3" s="481" t="s">
        <v>851</v>
      </c>
      <c r="E3" s="482"/>
      <c r="F3" s="503" t="s">
        <v>866</v>
      </c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5"/>
      <c r="V3" s="38"/>
    </row>
    <row r="4" spans="1:22">
      <c r="A4" s="55"/>
      <c r="B4" s="66"/>
      <c r="C4" s="72" t="s">
        <v>30</v>
      </c>
      <c r="D4" s="478" t="s">
        <v>860</v>
      </c>
      <c r="E4" s="483"/>
      <c r="F4" s="475" t="s">
        <v>863</v>
      </c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92"/>
      <c r="T4" s="92"/>
      <c r="U4" s="55"/>
      <c r="V4" s="38"/>
    </row>
    <row r="5" spans="1:22">
      <c r="A5" s="55"/>
      <c r="B5" s="66"/>
      <c r="C5" s="72" t="s">
        <v>30</v>
      </c>
      <c r="D5" s="478" t="s">
        <v>342</v>
      </c>
      <c r="E5" s="483"/>
      <c r="F5" s="475" t="s">
        <v>868</v>
      </c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92"/>
      <c r="T5" s="92"/>
      <c r="U5" s="55"/>
      <c r="V5" s="38"/>
    </row>
    <row r="6" spans="1:22">
      <c r="A6" s="55"/>
      <c r="B6" s="66"/>
      <c r="C6" s="72" t="s">
        <v>30</v>
      </c>
      <c r="D6" s="478" t="s">
        <v>861</v>
      </c>
      <c r="E6" s="483"/>
      <c r="F6" s="475" t="s">
        <v>867</v>
      </c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92"/>
      <c r="T6" s="92"/>
      <c r="U6" s="56"/>
      <c r="V6" s="53"/>
    </row>
    <row r="7" spans="1:22">
      <c r="A7" s="55"/>
      <c r="B7" s="66"/>
      <c r="C7" s="72" t="s">
        <v>30</v>
      </c>
      <c r="D7" s="478" t="s">
        <v>862</v>
      </c>
      <c r="E7" s="483"/>
      <c r="F7" s="475" t="s">
        <v>864</v>
      </c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92"/>
      <c r="T7" s="92"/>
      <c r="U7" s="55"/>
      <c r="V7" s="38"/>
    </row>
    <row r="8" spans="1:22">
      <c r="A8" s="55"/>
      <c r="B8" s="66"/>
      <c r="C8" s="72" t="s">
        <v>30</v>
      </c>
      <c r="D8" s="484" t="s">
        <v>837</v>
      </c>
      <c r="E8" s="485"/>
      <c r="F8" s="496" t="s">
        <v>865</v>
      </c>
      <c r="G8" s="496"/>
      <c r="H8" s="496"/>
      <c r="I8" s="496"/>
      <c r="J8" s="496"/>
      <c r="K8" s="496"/>
      <c r="L8" s="496"/>
      <c r="M8" s="496"/>
      <c r="N8" s="496"/>
      <c r="O8" s="496"/>
      <c r="P8" s="496"/>
      <c r="Q8" s="496"/>
      <c r="R8" s="496"/>
      <c r="S8" s="92"/>
      <c r="T8" s="92"/>
      <c r="U8" s="55"/>
    </row>
    <row r="9" spans="1:22">
      <c r="A9" s="55"/>
      <c r="B9" s="74">
        <v>2.5</v>
      </c>
      <c r="C9" s="60" t="s">
        <v>30</v>
      </c>
      <c r="D9" s="478" t="s">
        <v>857</v>
      </c>
      <c r="E9" s="483"/>
      <c r="F9" s="481" t="s">
        <v>409</v>
      </c>
      <c r="G9" s="488"/>
      <c r="H9" s="488"/>
      <c r="I9" s="488"/>
      <c r="J9" s="488"/>
      <c r="K9" s="488"/>
      <c r="L9" s="488"/>
      <c r="M9" s="488"/>
      <c r="N9" s="488"/>
      <c r="O9" s="488"/>
      <c r="P9" s="488"/>
      <c r="Q9" s="488"/>
      <c r="R9" s="488"/>
      <c r="S9" s="488"/>
      <c r="T9" s="488"/>
      <c r="U9" s="55"/>
    </row>
    <row r="10" spans="1:22">
      <c r="A10" s="55"/>
      <c r="B10" s="66"/>
      <c r="C10" s="61" t="s">
        <v>30</v>
      </c>
      <c r="D10" s="478" t="s">
        <v>342</v>
      </c>
      <c r="E10" s="483"/>
      <c r="F10" s="478" t="s">
        <v>413</v>
      </c>
      <c r="G10" s="476"/>
      <c r="H10" s="476"/>
      <c r="I10" s="476"/>
      <c r="J10" s="476"/>
      <c r="K10" s="476"/>
      <c r="L10" s="476"/>
      <c r="M10" s="476"/>
      <c r="N10" s="476"/>
      <c r="O10" s="476"/>
      <c r="P10" s="476"/>
      <c r="Q10" s="476"/>
      <c r="R10" s="476"/>
      <c r="S10" s="476"/>
      <c r="T10" s="476"/>
      <c r="U10" s="55"/>
    </row>
    <row r="11" spans="1:22">
      <c r="A11" s="55"/>
      <c r="B11" s="66"/>
      <c r="C11" s="61" t="s">
        <v>30</v>
      </c>
      <c r="D11" s="478" t="s">
        <v>858</v>
      </c>
      <c r="E11" s="483"/>
      <c r="F11" s="478" t="s">
        <v>410</v>
      </c>
      <c r="G11" s="476"/>
      <c r="H11" s="476"/>
      <c r="I11" s="476"/>
      <c r="J11" s="476"/>
      <c r="K11" s="476"/>
      <c r="L11" s="476"/>
      <c r="M11" s="476"/>
      <c r="N11" s="476"/>
      <c r="O11" s="476"/>
      <c r="P11" s="476"/>
      <c r="Q11" s="476"/>
      <c r="R11" s="476"/>
      <c r="S11" s="476"/>
      <c r="T11" s="476"/>
      <c r="U11" s="55"/>
    </row>
    <row r="12" spans="1:22">
      <c r="A12" s="55"/>
      <c r="B12" s="66"/>
      <c r="C12" s="61" t="s">
        <v>30</v>
      </c>
      <c r="D12" s="478" t="s">
        <v>859</v>
      </c>
      <c r="E12" s="483"/>
      <c r="F12" s="478" t="s">
        <v>741</v>
      </c>
      <c r="G12" s="476"/>
      <c r="H12" s="476"/>
      <c r="I12" s="476"/>
      <c r="J12" s="476"/>
      <c r="K12" s="476"/>
      <c r="L12" s="476"/>
      <c r="M12" s="476"/>
      <c r="N12" s="476"/>
      <c r="O12" s="476"/>
      <c r="P12" s="476"/>
      <c r="Q12" s="476"/>
      <c r="R12" s="476"/>
      <c r="S12" s="476"/>
      <c r="T12" s="476"/>
      <c r="U12" s="55"/>
    </row>
    <row r="13" spans="1:22">
      <c r="A13" s="55"/>
      <c r="B13" s="66"/>
      <c r="C13" s="61"/>
      <c r="D13" s="478"/>
      <c r="E13" s="483"/>
      <c r="F13" s="478" t="s">
        <v>742</v>
      </c>
      <c r="G13" s="476"/>
      <c r="H13" s="476"/>
      <c r="I13" s="476"/>
      <c r="J13" s="476"/>
      <c r="K13" s="476"/>
      <c r="L13" s="476"/>
      <c r="M13" s="476"/>
      <c r="N13" s="476"/>
      <c r="O13" s="476"/>
      <c r="P13" s="476"/>
      <c r="Q13" s="476"/>
      <c r="R13" s="476"/>
      <c r="S13" s="476"/>
      <c r="T13" s="476"/>
      <c r="U13" s="55"/>
    </row>
    <row r="14" spans="1:22">
      <c r="A14" s="55"/>
      <c r="B14" s="66"/>
      <c r="C14" s="61"/>
      <c r="D14" s="478" t="s">
        <v>476</v>
      </c>
      <c r="E14" s="483"/>
      <c r="F14" s="54" t="s">
        <v>282</v>
      </c>
      <c r="G14" s="492" t="str">
        <f ca="1">VLOOKUP("Page Number",Zone_Traduction,ref_langue,FALSE)</f>
        <v>Page Number</v>
      </c>
      <c r="H14" s="493"/>
      <c r="I14" s="497" t="str">
        <f ca="1">VLOOKUP("Book Name",Zone_Traduction,ref_langue,FALSE)</f>
        <v>Book Name</v>
      </c>
      <c r="J14" s="498"/>
      <c r="K14" s="499"/>
      <c r="L14" s="497" t="str">
        <f ca="1">VLOOKUP("List Name",Zone_Traduction,ref_langue,FALSE)</f>
        <v>List Name</v>
      </c>
      <c r="M14" s="499"/>
      <c r="N14" s="76"/>
      <c r="O14" s="69"/>
      <c r="P14" s="69"/>
      <c r="Q14" s="69"/>
      <c r="R14" s="69"/>
      <c r="S14" s="69"/>
      <c r="T14" s="69"/>
      <c r="U14" s="55"/>
    </row>
    <row r="15" spans="1:22">
      <c r="A15" s="55"/>
      <c r="B15" s="66"/>
      <c r="C15" s="61"/>
      <c r="D15" s="478"/>
      <c r="E15" s="483"/>
      <c r="F15" s="54"/>
      <c r="G15" s="494">
        <v>23</v>
      </c>
      <c r="H15" s="495"/>
      <c r="I15" s="500" t="s">
        <v>344</v>
      </c>
      <c r="J15" s="501"/>
      <c r="K15" s="502"/>
      <c r="L15" s="504" t="s">
        <v>355</v>
      </c>
      <c r="M15" s="505"/>
      <c r="N15" s="77"/>
      <c r="O15" s="69"/>
      <c r="P15" s="69"/>
      <c r="Q15" s="69"/>
      <c r="R15" s="69"/>
      <c r="S15" s="69"/>
      <c r="T15" s="69"/>
      <c r="U15" s="55"/>
    </row>
    <row r="16" spans="1:22">
      <c r="A16" s="55"/>
      <c r="B16" s="66"/>
      <c r="C16" s="61" t="s">
        <v>30</v>
      </c>
      <c r="D16" s="478" t="s">
        <v>771</v>
      </c>
      <c r="E16" s="483"/>
      <c r="F16" s="478" t="s">
        <v>411</v>
      </c>
      <c r="G16" s="476"/>
      <c r="H16" s="476"/>
      <c r="I16" s="476"/>
      <c r="J16" s="476"/>
      <c r="K16" s="476"/>
      <c r="L16" s="476"/>
      <c r="M16" s="476"/>
      <c r="N16" s="476"/>
      <c r="O16" s="476"/>
      <c r="P16" s="476"/>
      <c r="Q16" s="476"/>
      <c r="R16" s="476"/>
      <c r="S16" s="476"/>
      <c r="T16" s="476"/>
      <c r="U16" s="55"/>
    </row>
    <row r="17" spans="1:21">
      <c r="A17" s="55"/>
      <c r="B17" s="67"/>
      <c r="C17" s="63" t="s">
        <v>30</v>
      </c>
      <c r="D17" s="478" t="s">
        <v>708</v>
      </c>
      <c r="E17" s="483"/>
      <c r="F17" s="484" t="s">
        <v>412</v>
      </c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55"/>
    </row>
    <row r="18" spans="1:21">
      <c r="A18" s="55"/>
      <c r="B18" s="68">
        <v>2.4</v>
      </c>
      <c r="C18" s="64" t="s">
        <v>30</v>
      </c>
      <c r="D18" s="481" t="s">
        <v>856</v>
      </c>
      <c r="E18" s="482"/>
      <c r="F18" s="472" t="s">
        <v>340</v>
      </c>
      <c r="G18" s="473"/>
      <c r="H18" s="473"/>
      <c r="I18" s="473"/>
      <c r="J18" s="473"/>
      <c r="K18" s="473"/>
      <c r="L18" s="473"/>
      <c r="M18" s="473"/>
      <c r="N18" s="473"/>
      <c r="O18" s="473"/>
      <c r="P18" s="473"/>
      <c r="Q18" s="473"/>
      <c r="R18" s="473"/>
      <c r="S18" s="473"/>
      <c r="T18" s="473"/>
      <c r="U18" s="55"/>
    </row>
    <row r="19" spans="1:21">
      <c r="A19" s="55"/>
      <c r="B19" s="66" t="s">
        <v>735</v>
      </c>
      <c r="C19" s="72" t="s">
        <v>30</v>
      </c>
      <c r="D19" s="481" t="s">
        <v>851</v>
      </c>
      <c r="E19" s="482"/>
      <c r="F19" s="488" t="s">
        <v>330</v>
      </c>
      <c r="G19" s="488"/>
      <c r="H19" s="488"/>
      <c r="I19" s="488"/>
      <c r="J19" s="488"/>
      <c r="K19" s="488"/>
      <c r="L19" s="488"/>
      <c r="M19" s="488"/>
      <c r="N19" s="488"/>
      <c r="O19" s="488"/>
      <c r="P19" s="488"/>
      <c r="Q19" s="488"/>
      <c r="R19" s="488"/>
      <c r="S19" s="488"/>
      <c r="T19" s="488"/>
      <c r="U19" s="55"/>
    </row>
    <row r="20" spans="1:21">
      <c r="A20" s="55"/>
      <c r="B20" s="57"/>
      <c r="C20" s="72" t="s">
        <v>30</v>
      </c>
      <c r="D20" s="478" t="s">
        <v>851</v>
      </c>
      <c r="E20" s="483"/>
      <c r="F20" s="476" t="s">
        <v>332</v>
      </c>
      <c r="G20" s="474"/>
      <c r="H20" s="474"/>
      <c r="I20" s="474"/>
      <c r="J20" s="474"/>
      <c r="K20" s="474"/>
      <c r="L20" s="474"/>
      <c r="M20" s="474"/>
      <c r="N20" s="474"/>
      <c r="O20" s="474"/>
      <c r="P20" s="474"/>
      <c r="Q20" s="474"/>
      <c r="R20" s="474"/>
      <c r="S20" s="474"/>
      <c r="T20" s="474"/>
      <c r="U20" s="55"/>
    </row>
    <row r="21" spans="1:21">
      <c r="A21" s="55"/>
      <c r="B21" s="62"/>
      <c r="C21" s="62" t="s">
        <v>30</v>
      </c>
      <c r="D21" s="478" t="s">
        <v>773</v>
      </c>
      <c r="E21" s="483"/>
      <c r="F21" s="489" t="s">
        <v>331</v>
      </c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89"/>
      <c r="T21" s="489"/>
      <c r="U21" s="55"/>
    </row>
    <row r="22" spans="1:21">
      <c r="A22" s="55"/>
      <c r="B22" s="57" t="s">
        <v>736</v>
      </c>
      <c r="C22" s="72" t="s">
        <v>30</v>
      </c>
      <c r="D22" s="481" t="s">
        <v>851</v>
      </c>
      <c r="E22" s="482"/>
      <c r="F22" s="488" t="s">
        <v>314</v>
      </c>
      <c r="G22" s="488"/>
      <c r="H22" s="488"/>
      <c r="I22" s="488"/>
      <c r="J22" s="488"/>
      <c r="K22" s="488"/>
      <c r="L22" s="488"/>
      <c r="M22" s="488"/>
      <c r="N22" s="488"/>
      <c r="O22" s="488"/>
      <c r="P22" s="488"/>
      <c r="Q22" s="488"/>
      <c r="R22" s="488"/>
      <c r="S22" s="488"/>
      <c r="T22" s="488"/>
      <c r="U22" s="55"/>
    </row>
    <row r="23" spans="1:21">
      <c r="A23" s="55"/>
      <c r="B23" s="62"/>
      <c r="C23" s="62" t="s">
        <v>30</v>
      </c>
      <c r="D23" s="484" t="s">
        <v>855</v>
      </c>
      <c r="E23" s="485"/>
      <c r="F23" s="489" t="s">
        <v>315</v>
      </c>
      <c r="G23" s="489"/>
      <c r="H23" s="489"/>
      <c r="I23" s="489"/>
      <c r="J23" s="489"/>
      <c r="K23" s="489"/>
      <c r="L23" s="489"/>
      <c r="M23" s="489"/>
      <c r="N23" s="489"/>
      <c r="O23" s="489"/>
      <c r="P23" s="489"/>
      <c r="Q23" s="489"/>
      <c r="R23" s="489"/>
      <c r="S23" s="489"/>
      <c r="T23" s="489"/>
      <c r="U23" s="55"/>
    </row>
    <row r="24" spans="1:21">
      <c r="A24" s="55"/>
      <c r="B24" s="57" t="s">
        <v>737</v>
      </c>
      <c r="C24" s="61" t="s">
        <v>30</v>
      </c>
      <c r="D24" s="478" t="s">
        <v>854</v>
      </c>
      <c r="E24" s="483"/>
      <c r="F24" s="481" t="s">
        <v>311</v>
      </c>
      <c r="G24" s="488"/>
      <c r="H24" s="488"/>
      <c r="I24" s="488"/>
      <c r="J24" s="488"/>
      <c r="K24" s="488"/>
      <c r="L24" s="488"/>
      <c r="M24" s="488"/>
      <c r="N24" s="488"/>
      <c r="O24" s="488"/>
      <c r="P24" s="488"/>
      <c r="Q24" s="488"/>
      <c r="R24" s="488"/>
      <c r="S24" s="488"/>
      <c r="T24" s="488"/>
      <c r="U24" s="55"/>
    </row>
    <row r="25" spans="1:21">
      <c r="A25" s="55"/>
      <c r="B25" s="57"/>
      <c r="C25" s="61" t="s">
        <v>30</v>
      </c>
      <c r="D25" s="478" t="s">
        <v>855</v>
      </c>
      <c r="E25" s="483"/>
      <c r="F25" s="478" t="s">
        <v>333</v>
      </c>
      <c r="G25" s="474"/>
      <c r="H25" s="474"/>
      <c r="I25" s="474"/>
      <c r="J25" s="474"/>
      <c r="K25" s="474"/>
      <c r="L25" s="474"/>
      <c r="M25" s="474"/>
      <c r="N25" s="474"/>
      <c r="O25" s="474"/>
      <c r="P25" s="474"/>
      <c r="Q25" s="474"/>
      <c r="R25" s="474"/>
      <c r="S25" s="474"/>
      <c r="T25" s="474"/>
      <c r="U25" s="55"/>
    </row>
    <row r="26" spans="1:21">
      <c r="A26" s="55"/>
      <c r="B26" s="57"/>
      <c r="C26" s="61" t="s">
        <v>30</v>
      </c>
      <c r="D26" s="478" t="s">
        <v>838</v>
      </c>
      <c r="E26" s="483"/>
      <c r="F26" s="478" t="s">
        <v>334</v>
      </c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474"/>
      <c r="U26" s="55"/>
    </row>
    <row r="27" spans="1:21">
      <c r="A27" s="55"/>
      <c r="B27" s="62"/>
      <c r="C27" s="63" t="s">
        <v>30</v>
      </c>
      <c r="D27" s="484" t="s">
        <v>783</v>
      </c>
      <c r="E27" s="485"/>
      <c r="F27" s="484" t="s">
        <v>312</v>
      </c>
      <c r="G27" s="489"/>
      <c r="H27" s="489"/>
      <c r="I27" s="489"/>
      <c r="J27" s="489"/>
      <c r="K27" s="489"/>
      <c r="L27" s="489"/>
      <c r="M27" s="489"/>
      <c r="N27" s="489"/>
      <c r="O27" s="489"/>
      <c r="P27" s="489"/>
      <c r="Q27" s="489"/>
      <c r="R27" s="489"/>
      <c r="S27" s="489"/>
      <c r="T27" s="489"/>
      <c r="U27" s="55"/>
    </row>
    <row r="28" spans="1:21">
      <c r="A28" s="55"/>
      <c r="B28" s="57" t="s">
        <v>738</v>
      </c>
      <c r="C28" s="72" t="s">
        <v>30</v>
      </c>
      <c r="D28" s="481" t="s">
        <v>851</v>
      </c>
      <c r="E28" s="486"/>
      <c r="F28" s="488" t="s">
        <v>285</v>
      </c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55"/>
    </row>
    <row r="29" spans="1:21">
      <c r="A29" s="55"/>
      <c r="B29" s="57"/>
      <c r="C29" s="72" t="s">
        <v>30</v>
      </c>
      <c r="D29" s="478" t="s">
        <v>843</v>
      </c>
      <c r="E29" s="483"/>
      <c r="F29" s="476" t="s">
        <v>279</v>
      </c>
      <c r="G29" s="476"/>
      <c r="H29" s="476"/>
      <c r="I29" s="476"/>
      <c r="J29" s="476"/>
      <c r="K29" s="476"/>
      <c r="L29" s="476"/>
      <c r="M29" s="476"/>
      <c r="N29" s="476"/>
      <c r="O29" s="476"/>
      <c r="P29" s="476"/>
      <c r="Q29" s="476"/>
      <c r="R29" s="476"/>
      <c r="S29" s="476"/>
      <c r="T29" s="476"/>
      <c r="U29" s="55"/>
    </row>
    <row r="30" spans="1:21">
      <c r="A30" s="55"/>
      <c r="B30" s="57"/>
      <c r="C30" s="72" t="s">
        <v>30</v>
      </c>
      <c r="D30" s="478" t="s">
        <v>840</v>
      </c>
      <c r="E30" s="483"/>
      <c r="F30" s="476" t="s">
        <v>280</v>
      </c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55"/>
    </row>
    <row r="31" spans="1:21">
      <c r="A31" s="55"/>
      <c r="B31" s="57"/>
      <c r="C31" s="72" t="s">
        <v>30</v>
      </c>
      <c r="D31" s="478" t="s">
        <v>838</v>
      </c>
      <c r="E31" s="483"/>
      <c r="F31" s="476" t="s">
        <v>281</v>
      </c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4"/>
      <c r="T31" s="474"/>
      <c r="U31" s="55"/>
    </row>
    <row r="32" spans="1:21">
      <c r="A32" s="55"/>
      <c r="B32" s="57"/>
      <c r="C32" s="72" t="s">
        <v>30</v>
      </c>
      <c r="D32" s="478" t="s">
        <v>852</v>
      </c>
      <c r="E32" s="483"/>
      <c r="F32" s="476" t="s">
        <v>286</v>
      </c>
      <c r="G32" s="474"/>
      <c r="H32" s="474"/>
      <c r="I32" s="474"/>
      <c r="J32" s="474"/>
      <c r="K32" s="474"/>
      <c r="L32" s="474"/>
      <c r="M32" s="474"/>
      <c r="N32" s="474"/>
      <c r="O32" s="474"/>
      <c r="P32" s="474"/>
      <c r="Q32" s="474"/>
      <c r="R32" s="474"/>
      <c r="S32" s="474"/>
      <c r="T32" s="474"/>
      <c r="U32" s="55"/>
    </row>
    <row r="33" spans="1:21">
      <c r="A33" s="55"/>
      <c r="B33" s="57"/>
      <c r="C33" s="72" t="s">
        <v>30</v>
      </c>
      <c r="D33" s="478" t="s">
        <v>853</v>
      </c>
      <c r="E33" s="483"/>
      <c r="F33" s="476" t="s">
        <v>287</v>
      </c>
      <c r="G33" s="474"/>
      <c r="H33" s="474"/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474"/>
      <c r="U33" s="55"/>
    </row>
    <row r="34" spans="1:21">
      <c r="A34" s="55"/>
      <c r="B34" s="57"/>
      <c r="C34" s="72" t="s">
        <v>30</v>
      </c>
      <c r="D34" s="478" t="s">
        <v>793</v>
      </c>
      <c r="E34" s="483"/>
      <c r="F34" s="476" t="s">
        <v>288</v>
      </c>
      <c r="G34" s="474"/>
      <c r="H34" s="474"/>
      <c r="I34" s="474"/>
      <c r="J34" s="474"/>
      <c r="K34" s="474"/>
      <c r="L34" s="474"/>
      <c r="M34" s="474"/>
      <c r="N34" s="474"/>
      <c r="O34" s="474"/>
      <c r="P34" s="474"/>
      <c r="Q34" s="474"/>
      <c r="R34" s="474"/>
      <c r="S34" s="474"/>
      <c r="T34" s="474"/>
      <c r="U34" s="55"/>
    </row>
    <row r="35" spans="1:21">
      <c r="A35" s="55"/>
      <c r="B35" s="62"/>
      <c r="C35" s="62" t="s">
        <v>30</v>
      </c>
      <c r="D35" s="484" t="s">
        <v>317</v>
      </c>
      <c r="E35" s="485"/>
      <c r="F35" s="489" t="s">
        <v>289</v>
      </c>
      <c r="G35" s="489"/>
      <c r="H35" s="489"/>
      <c r="I35" s="489"/>
      <c r="J35" s="489"/>
      <c r="K35" s="489"/>
      <c r="L35" s="489"/>
      <c r="M35" s="489"/>
      <c r="N35" s="489"/>
      <c r="O35" s="489"/>
      <c r="P35" s="489"/>
      <c r="Q35" s="489"/>
      <c r="R35" s="489"/>
      <c r="S35" s="489"/>
      <c r="T35" s="489"/>
      <c r="U35" s="55"/>
    </row>
    <row r="36" spans="1:21">
      <c r="A36" s="55"/>
      <c r="B36" s="57">
        <v>1.7</v>
      </c>
      <c r="C36" s="61" t="s">
        <v>30</v>
      </c>
      <c r="D36" s="481" t="s">
        <v>850</v>
      </c>
      <c r="E36" s="482"/>
      <c r="F36" s="476" t="s">
        <v>849</v>
      </c>
      <c r="G36" s="477"/>
      <c r="H36" s="477"/>
      <c r="I36" s="477"/>
      <c r="J36" s="477"/>
      <c r="K36" s="477"/>
      <c r="L36" s="477"/>
      <c r="M36" s="477"/>
      <c r="N36" s="477"/>
      <c r="O36" s="477"/>
      <c r="P36" s="477"/>
      <c r="Q36" s="477"/>
      <c r="R36" s="477"/>
      <c r="S36" s="477"/>
      <c r="T36" s="477"/>
      <c r="U36" s="55"/>
    </row>
    <row r="37" spans="1:21">
      <c r="A37" s="55"/>
      <c r="B37" s="57"/>
      <c r="C37" s="61" t="s">
        <v>30</v>
      </c>
      <c r="D37" s="478" t="s">
        <v>848</v>
      </c>
      <c r="E37" s="483"/>
      <c r="F37" s="478" t="s">
        <v>197</v>
      </c>
      <c r="G37" s="477"/>
      <c r="H37" s="477"/>
      <c r="I37" s="477"/>
      <c r="J37" s="477"/>
      <c r="K37" s="477"/>
      <c r="L37" s="477"/>
      <c r="M37" s="477"/>
      <c r="N37" s="477"/>
      <c r="O37" s="477"/>
      <c r="P37" s="477"/>
      <c r="Q37" s="477"/>
      <c r="R37" s="477"/>
      <c r="S37" s="477"/>
      <c r="T37" s="477"/>
      <c r="U37" s="55"/>
    </row>
    <row r="38" spans="1:21">
      <c r="A38" s="55"/>
      <c r="B38" s="57"/>
      <c r="C38" s="61" t="s">
        <v>30</v>
      </c>
      <c r="D38" s="478" t="s">
        <v>59</v>
      </c>
      <c r="E38" s="483"/>
      <c r="F38" s="474" t="s">
        <v>290</v>
      </c>
      <c r="G38" s="475"/>
      <c r="H38" s="475"/>
      <c r="I38" s="475"/>
      <c r="J38" s="475"/>
      <c r="K38" s="475"/>
      <c r="L38" s="475"/>
      <c r="M38" s="475"/>
      <c r="N38" s="475"/>
      <c r="O38" s="475"/>
      <c r="P38" s="475"/>
      <c r="Q38" s="475"/>
      <c r="R38" s="475"/>
      <c r="S38" s="475"/>
      <c r="T38" s="475"/>
      <c r="U38" s="55"/>
    </row>
    <row r="39" spans="1:21">
      <c r="A39" s="55"/>
      <c r="B39" s="62"/>
      <c r="C39" s="63" t="s">
        <v>30</v>
      </c>
      <c r="D39" s="484" t="s">
        <v>851</v>
      </c>
      <c r="E39" s="485"/>
      <c r="F39" s="484" t="s">
        <v>291</v>
      </c>
      <c r="G39" s="496"/>
      <c r="H39" s="496"/>
      <c r="I39" s="496"/>
      <c r="J39" s="496"/>
      <c r="K39" s="496"/>
      <c r="L39" s="496"/>
      <c r="M39" s="496"/>
      <c r="N39" s="496"/>
      <c r="O39" s="496"/>
      <c r="P39" s="496"/>
      <c r="Q39" s="496"/>
      <c r="R39" s="496"/>
      <c r="S39" s="496"/>
      <c r="T39" s="496"/>
      <c r="U39" s="55"/>
    </row>
    <row r="40" spans="1:21">
      <c r="A40" s="55"/>
      <c r="B40" s="57">
        <v>1.6</v>
      </c>
      <c r="C40" s="61" t="s">
        <v>30</v>
      </c>
      <c r="D40" s="481" t="s">
        <v>321</v>
      </c>
      <c r="E40" s="482"/>
      <c r="F40" s="474" t="s">
        <v>292</v>
      </c>
      <c r="G40" s="475"/>
      <c r="H40" s="475"/>
      <c r="I40" s="475"/>
      <c r="J40" s="475"/>
      <c r="K40" s="475"/>
      <c r="L40" s="475"/>
      <c r="M40" s="475"/>
      <c r="N40" s="475"/>
      <c r="O40" s="475"/>
      <c r="P40" s="475"/>
      <c r="Q40" s="475"/>
      <c r="R40" s="475"/>
      <c r="S40" s="475"/>
      <c r="T40" s="475"/>
      <c r="U40" s="55"/>
    </row>
    <row r="41" spans="1:21">
      <c r="A41" s="55"/>
      <c r="B41" s="57"/>
      <c r="C41" s="61" t="s">
        <v>30</v>
      </c>
      <c r="D41" s="478" t="s">
        <v>848</v>
      </c>
      <c r="E41" s="483"/>
      <c r="F41" s="474" t="s">
        <v>293</v>
      </c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  <c r="S41" s="475"/>
      <c r="T41" s="475"/>
      <c r="U41" s="55"/>
    </row>
    <row r="42" spans="1:21">
      <c r="A42" s="55"/>
      <c r="B42" s="62"/>
      <c r="C42" s="63" t="s">
        <v>30</v>
      </c>
      <c r="D42" s="478" t="s">
        <v>847</v>
      </c>
      <c r="E42" s="483"/>
      <c r="F42" s="474" t="s">
        <v>294</v>
      </c>
      <c r="G42" s="475"/>
      <c r="H42" s="475"/>
      <c r="I42" s="475"/>
      <c r="J42" s="475"/>
      <c r="K42" s="475"/>
      <c r="L42" s="475"/>
      <c r="M42" s="475"/>
      <c r="N42" s="475"/>
      <c r="O42" s="475"/>
      <c r="P42" s="475"/>
      <c r="Q42" s="475"/>
      <c r="R42" s="475"/>
      <c r="S42" s="475"/>
      <c r="T42" s="475"/>
      <c r="U42" s="55"/>
    </row>
    <row r="43" spans="1:21">
      <c r="A43" s="55"/>
      <c r="B43" s="57">
        <v>1.5</v>
      </c>
      <c r="C43" s="61" t="s">
        <v>30</v>
      </c>
      <c r="D43" s="481" t="s">
        <v>843</v>
      </c>
      <c r="E43" s="482"/>
      <c r="F43" s="481" t="s">
        <v>79</v>
      </c>
      <c r="G43" s="487"/>
      <c r="H43" s="487"/>
      <c r="I43" s="487"/>
      <c r="J43" s="487"/>
      <c r="K43" s="487"/>
      <c r="L43" s="487"/>
      <c r="M43" s="487"/>
      <c r="N43" s="487"/>
      <c r="O43" s="487"/>
      <c r="P43" s="487"/>
      <c r="Q43" s="487"/>
      <c r="R43" s="487"/>
      <c r="S43" s="487"/>
      <c r="T43" s="487"/>
      <c r="U43" s="55"/>
    </row>
    <row r="44" spans="1:21">
      <c r="A44" s="55"/>
      <c r="B44" s="57"/>
      <c r="C44" s="61" t="s">
        <v>30</v>
      </c>
      <c r="D44" s="478" t="s">
        <v>842</v>
      </c>
      <c r="E44" s="483"/>
      <c r="F44" s="474" t="s">
        <v>80</v>
      </c>
      <c r="G44" s="475"/>
      <c r="H44" s="475"/>
      <c r="I44" s="475"/>
      <c r="J44" s="475"/>
      <c r="K44" s="475"/>
      <c r="L44" s="475"/>
      <c r="M44" s="475"/>
      <c r="N44" s="475"/>
      <c r="O44" s="475"/>
      <c r="P44" s="475"/>
      <c r="Q44" s="475"/>
      <c r="R44" s="475"/>
      <c r="S44" s="475"/>
      <c r="T44" s="475"/>
      <c r="U44" s="55"/>
    </row>
    <row r="45" spans="1:21">
      <c r="A45" s="55"/>
      <c r="B45" s="57"/>
      <c r="C45" s="61" t="s">
        <v>30</v>
      </c>
      <c r="D45" s="478" t="s">
        <v>841</v>
      </c>
      <c r="E45" s="483"/>
      <c r="F45" s="474" t="s">
        <v>81</v>
      </c>
      <c r="G45" s="475"/>
      <c r="H45" s="475"/>
      <c r="I45" s="475"/>
      <c r="J45" s="475"/>
      <c r="K45" s="475"/>
      <c r="L45" s="475"/>
      <c r="M45" s="475"/>
      <c r="N45" s="475"/>
      <c r="O45" s="475"/>
      <c r="P45" s="475"/>
      <c r="Q45" s="475"/>
      <c r="R45" s="475"/>
      <c r="S45" s="475"/>
      <c r="T45" s="475"/>
      <c r="U45" s="55"/>
    </row>
    <row r="46" spans="1:21">
      <c r="A46" s="55"/>
      <c r="B46" s="57"/>
      <c r="C46" s="61" t="s">
        <v>30</v>
      </c>
      <c r="D46" s="478" t="s">
        <v>840</v>
      </c>
      <c r="E46" s="483"/>
      <c r="F46" s="474" t="s">
        <v>77</v>
      </c>
      <c r="G46" s="475"/>
      <c r="H46" s="475"/>
      <c r="I46" s="475"/>
      <c r="J46" s="475"/>
      <c r="K46" s="475"/>
      <c r="L46" s="475"/>
      <c r="M46" s="475"/>
      <c r="N46" s="475"/>
      <c r="O46" s="475"/>
      <c r="P46" s="475"/>
      <c r="Q46" s="475"/>
      <c r="R46" s="475"/>
      <c r="S46" s="475"/>
      <c r="T46" s="475"/>
      <c r="U46" s="55"/>
    </row>
    <row r="47" spans="1:21">
      <c r="A47" s="55"/>
      <c r="B47" s="57"/>
      <c r="C47" s="61" t="s">
        <v>30</v>
      </c>
      <c r="D47" s="478" t="s">
        <v>839</v>
      </c>
      <c r="E47" s="483"/>
      <c r="F47" s="474" t="s">
        <v>78</v>
      </c>
      <c r="G47" s="475"/>
      <c r="H47" s="475"/>
      <c r="I47" s="475"/>
      <c r="J47" s="475"/>
      <c r="K47" s="475"/>
      <c r="L47" s="475"/>
      <c r="M47" s="475"/>
      <c r="N47" s="475"/>
      <c r="O47" s="475"/>
      <c r="P47" s="475"/>
      <c r="Q47" s="475"/>
      <c r="R47" s="475"/>
      <c r="S47" s="475"/>
      <c r="T47" s="475"/>
      <c r="U47" s="55"/>
    </row>
    <row r="48" spans="1:21">
      <c r="A48" s="55"/>
      <c r="B48" s="57"/>
      <c r="C48" s="61" t="s">
        <v>30</v>
      </c>
      <c r="D48" s="478" t="s">
        <v>838</v>
      </c>
      <c r="E48" s="483"/>
      <c r="F48" s="474" t="s">
        <v>188</v>
      </c>
      <c r="G48" s="475"/>
      <c r="H48" s="475"/>
      <c r="I48" s="475"/>
      <c r="J48" s="475"/>
      <c r="K48" s="475"/>
      <c r="L48" s="475"/>
      <c r="M48" s="475"/>
      <c r="N48" s="475"/>
      <c r="O48" s="475"/>
      <c r="P48" s="475"/>
      <c r="Q48" s="475"/>
      <c r="R48" s="475"/>
      <c r="S48" s="475"/>
      <c r="T48" s="475"/>
      <c r="U48" s="55"/>
    </row>
    <row r="49" spans="1:21">
      <c r="A49" s="55"/>
      <c r="B49" s="57"/>
      <c r="C49" s="61" t="s">
        <v>30</v>
      </c>
      <c r="D49" s="478" t="s">
        <v>59</v>
      </c>
      <c r="E49" s="483"/>
      <c r="F49" s="474" t="s">
        <v>335</v>
      </c>
      <c r="G49" s="475"/>
      <c r="H49" s="475"/>
      <c r="I49" s="475"/>
      <c r="J49" s="475"/>
      <c r="K49" s="475"/>
      <c r="L49" s="475"/>
      <c r="M49" s="475"/>
      <c r="N49" s="475"/>
      <c r="O49" s="475"/>
      <c r="P49" s="475"/>
      <c r="Q49" s="475"/>
      <c r="R49" s="475"/>
      <c r="S49" s="475"/>
      <c r="T49" s="475"/>
      <c r="U49" s="55"/>
    </row>
    <row r="50" spans="1:21">
      <c r="A50" s="55"/>
      <c r="B50" s="62"/>
      <c r="C50" s="63"/>
      <c r="D50" s="484" t="s">
        <v>837</v>
      </c>
      <c r="E50" s="485"/>
      <c r="F50" s="489" t="s">
        <v>75</v>
      </c>
      <c r="G50" s="496"/>
      <c r="H50" s="496"/>
      <c r="I50" s="496"/>
      <c r="J50" s="496"/>
      <c r="K50" s="496"/>
      <c r="L50" s="496"/>
      <c r="M50" s="496"/>
      <c r="N50" s="496"/>
      <c r="O50" s="496"/>
      <c r="P50" s="496"/>
      <c r="Q50" s="496"/>
      <c r="R50" s="496"/>
      <c r="S50" s="496"/>
      <c r="T50" s="496"/>
      <c r="U50" s="55"/>
    </row>
    <row r="51" spans="1:21">
      <c r="A51" s="55"/>
      <c r="B51" s="71"/>
      <c r="C51" s="71"/>
      <c r="D51" s="71"/>
      <c r="E51" s="71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</row>
    <row r="52" spans="1:2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</row>
    <row r="53" spans="1:21">
      <c r="A53" s="2"/>
    </row>
    <row r="54" spans="1:21">
      <c r="A54" s="2"/>
    </row>
    <row r="55" spans="1:21">
      <c r="A55" s="2"/>
    </row>
    <row r="56" spans="1:21">
      <c r="A56" s="2"/>
    </row>
    <row r="57" spans="1:21">
      <c r="A57" s="2"/>
    </row>
    <row r="58" spans="1:21">
      <c r="A58" s="2"/>
    </row>
    <row r="59" spans="1:21">
      <c r="A59" s="2"/>
    </row>
    <row r="60" spans="1:21">
      <c r="A60" s="2"/>
    </row>
    <row r="61" spans="1:21">
      <c r="A61" s="2"/>
    </row>
    <row r="67" spans="6:6">
      <c r="F67" s="1"/>
    </row>
    <row r="68" spans="6:6">
      <c r="F68" s="1"/>
    </row>
    <row r="79" spans="6:6">
      <c r="F79" s="1"/>
    </row>
    <row r="86" spans="6:6">
      <c r="F86" s="1"/>
    </row>
    <row r="92" spans="6:6">
      <c r="F92" s="1"/>
    </row>
  </sheetData>
  <mergeCells count="103">
    <mergeCell ref="D37:E37"/>
    <mergeCell ref="D38:E38"/>
    <mergeCell ref="D31:E31"/>
    <mergeCell ref="D32:E32"/>
    <mergeCell ref="D33:E33"/>
    <mergeCell ref="D34:E34"/>
    <mergeCell ref="D49:E49"/>
    <mergeCell ref="D50:E50"/>
    <mergeCell ref="D43:E43"/>
    <mergeCell ref="D44:E44"/>
    <mergeCell ref="D45:E45"/>
    <mergeCell ref="D46:E46"/>
    <mergeCell ref="D47:E47"/>
    <mergeCell ref="D48:E48"/>
    <mergeCell ref="D39:E39"/>
    <mergeCell ref="D40:E40"/>
    <mergeCell ref="D41:E41"/>
    <mergeCell ref="D42:E42"/>
    <mergeCell ref="D35:E35"/>
    <mergeCell ref="D36:E36"/>
    <mergeCell ref="D29:E29"/>
    <mergeCell ref="D30:E30"/>
    <mergeCell ref="D23:E23"/>
    <mergeCell ref="D22:E22"/>
    <mergeCell ref="D19:E19"/>
    <mergeCell ref="D20:E20"/>
    <mergeCell ref="D21:E21"/>
    <mergeCell ref="D24:E24"/>
    <mergeCell ref="D25:E25"/>
    <mergeCell ref="D26:E26"/>
    <mergeCell ref="D27:E27"/>
    <mergeCell ref="F50:T50"/>
    <mergeCell ref="F1:T1"/>
    <mergeCell ref="F13:T13"/>
    <mergeCell ref="F12:T12"/>
    <mergeCell ref="F30:T30"/>
    <mergeCell ref="F10:T10"/>
    <mergeCell ref="F11:T11"/>
    <mergeCell ref="F16:T16"/>
    <mergeCell ref="I14:K14"/>
    <mergeCell ref="I15:K15"/>
    <mergeCell ref="F4:R4"/>
    <mergeCell ref="F5:R5"/>
    <mergeCell ref="F6:R6"/>
    <mergeCell ref="F7:R7"/>
    <mergeCell ref="F8:R8"/>
    <mergeCell ref="F3:T3"/>
    <mergeCell ref="F48:T48"/>
    <mergeCell ref="F49:T49"/>
    <mergeCell ref="F39:T39"/>
    <mergeCell ref="F40:T40"/>
    <mergeCell ref="F46:T46"/>
    <mergeCell ref="F47:T47"/>
    <mergeCell ref="L14:M14"/>
    <mergeCell ref="L15:M15"/>
    <mergeCell ref="F43:T43"/>
    <mergeCell ref="F44:T44"/>
    <mergeCell ref="F45:T45"/>
    <mergeCell ref="F9:T9"/>
    <mergeCell ref="F23:T23"/>
    <mergeCell ref="F34:T34"/>
    <mergeCell ref="F2:T2"/>
    <mergeCell ref="G14:H14"/>
    <mergeCell ref="F35:T35"/>
    <mergeCell ref="F31:T31"/>
    <mergeCell ref="F32:T32"/>
    <mergeCell ref="F33:T33"/>
    <mergeCell ref="F26:T26"/>
    <mergeCell ref="F27:T27"/>
    <mergeCell ref="F28:T28"/>
    <mergeCell ref="F29:T29"/>
    <mergeCell ref="F19:T19"/>
    <mergeCell ref="F21:T21"/>
    <mergeCell ref="F20:T20"/>
    <mergeCell ref="G15:H15"/>
    <mergeCell ref="F22:T22"/>
    <mergeCell ref="F24:T24"/>
    <mergeCell ref="F25:T25"/>
    <mergeCell ref="F17:T17"/>
    <mergeCell ref="F18:T18"/>
    <mergeCell ref="F41:T41"/>
    <mergeCell ref="F42:T42"/>
    <mergeCell ref="F36:T36"/>
    <mergeCell ref="F37:T37"/>
    <mergeCell ref="F38:T38"/>
    <mergeCell ref="B2:C2"/>
    <mergeCell ref="D3:E3"/>
    <mergeCell ref="D4:E4"/>
    <mergeCell ref="D5:E5"/>
    <mergeCell ref="D6:E6"/>
    <mergeCell ref="D7:E7"/>
    <mergeCell ref="D8:E8"/>
    <mergeCell ref="D18:E1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28:E28"/>
  </mergeCells>
  <phoneticPr fontId="0" type="noConversion"/>
  <dataValidations count="1">
    <dataValidation type="list" allowBlank="1" showInputMessage="1" showErrorMessage="1" sqref="I15:K15">
      <formula1>livret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9"/>
  </sheetPr>
  <dimension ref="A1:T85"/>
  <sheetViews>
    <sheetView workbookViewId="0">
      <pane ySplit="2" topLeftCell="A3" activePane="bottomLeft" state="frozen"/>
      <selection activeCell="C25" sqref="C25"/>
      <selection pane="bottomLeft" activeCell="C25" sqref="C25"/>
    </sheetView>
  </sheetViews>
  <sheetFormatPr defaultRowHeight="12.75"/>
  <cols>
    <col min="1" max="1" width="1.85546875" customWidth="1"/>
    <col min="2" max="2" width="5.7109375" style="70" customWidth="1"/>
    <col min="3" max="3" width="3.140625" style="70" customWidth="1"/>
    <col min="4" max="4" width="11.42578125" customWidth="1"/>
    <col min="5" max="5" width="10.42578125" bestFit="1" customWidth="1"/>
    <col min="6" max="6" width="4.85546875" bestFit="1" customWidth="1"/>
    <col min="7" max="7" width="7" bestFit="1" customWidth="1"/>
    <col min="8" max="8" width="7.42578125" bestFit="1" customWidth="1"/>
    <col min="9" max="9" width="9.42578125" bestFit="1" customWidth="1"/>
    <col min="10" max="10" width="8" bestFit="1" customWidth="1"/>
    <col min="11" max="11" width="10" bestFit="1" customWidth="1"/>
    <col min="12" max="12" width="9.5703125" bestFit="1" customWidth="1"/>
    <col min="13" max="13" width="6.5703125" bestFit="1" customWidth="1"/>
    <col min="14" max="14" width="11.42578125" customWidth="1"/>
    <col min="15" max="15" width="5" customWidth="1"/>
    <col min="16" max="16" width="8.42578125" customWidth="1"/>
    <col min="17" max="17" width="9.7109375" customWidth="1"/>
    <col min="18" max="18" width="8.42578125" customWidth="1"/>
    <col min="19" max="19" width="1.7109375" customWidth="1"/>
    <col min="20" max="256" width="11.42578125" customWidth="1"/>
  </cols>
  <sheetData>
    <row r="1" spans="1:20">
      <c r="A1" s="55"/>
      <c r="B1" s="452" t="s">
        <v>266</v>
      </c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5"/>
    </row>
    <row r="2" spans="1:20">
      <c r="A2" s="58"/>
      <c r="B2" s="479" t="s">
        <v>740</v>
      </c>
      <c r="C2" s="480"/>
      <c r="D2" s="509" t="s">
        <v>823</v>
      </c>
      <c r="E2" s="510"/>
      <c r="F2" s="508" t="s">
        <v>784</v>
      </c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55"/>
    </row>
    <row r="3" spans="1:20">
      <c r="A3" s="55"/>
      <c r="B3" s="73">
        <v>3</v>
      </c>
      <c r="C3" s="60" t="s">
        <v>30</v>
      </c>
      <c r="D3" s="481" t="s">
        <v>816</v>
      </c>
      <c r="E3" s="482"/>
      <c r="F3" s="487" t="s">
        <v>812</v>
      </c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55"/>
      <c r="T3" s="38"/>
    </row>
    <row r="4" spans="1:20">
      <c r="A4" s="55"/>
      <c r="B4" s="66"/>
      <c r="C4" s="61" t="s">
        <v>30</v>
      </c>
      <c r="D4" s="478" t="s">
        <v>734</v>
      </c>
      <c r="E4" s="483"/>
      <c r="F4" s="475" t="s">
        <v>777</v>
      </c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55"/>
    </row>
    <row r="5" spans="1:20">
      <c r="A5" s="55"/>
      <c r="B5" s="66"/>
      <c r="C5" s="61" t="s">
        <v>30</v>
      </c>
      <c r="D5" s="478" t="s">
        <v>761</v>
      </c>
      <c r="E5" s="483"/>
      <c r="F5" s="475" t="s">
        <v>766</v>
      </c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55"/>
    </row>
    <row r="6" spans="1:20">
      <c r="A6" s="55"/>
      <c r="B6" s="66"/>
      <c r="C6" s="61" t="s">
        <v>30</v>
      </c>
      <c r="D6" s="478" t="s">
        <v>762</v>
      </c>
      <c r="E6" s="483"/>
      <c r="F6" s="475" t="s">
        <v>765</v>
      </c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55"/>
    </row>
    <row r="7" spans="1:20">
      <c r="A7" s="55"/>
      <c r="B7" s="66"/>
      <c r="C7" s="61" t="s">
        <v>30</v>
      </c>
      <c r="D7" s="478" t="s">
        <v>763</v>
      </c>
      <c r="E7" s="483"/>
      <c r="F7" s="475" t="s">
        <v>813</v>
      </c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55"/>
    </row>
    <row r="8" spans="1:20">
      <c r="A8" s="55"/>
      <c r="B8" s="66"/>
      <c r="C8" s="61" t="s">
        <v>30</v>
      </c>
      <c r="D8" s="484" t="s">
        <v>767</v>
      </c>
      <c r="E8" s="485"/>
      <c r="F8" s="496" t="s">
        <v>764</v>
      </c>
      <c r="G8" s="496"/>
      <c r="H8" s="496"/>
      <c r="I8" s="496"/>
      <c r="J8" s="496"/>
      <c r="K8" s="496"/>
      <c r="L8" s="496"/>
      <c r="M8" s="496"/>
      <c r="N8" s="496"/>
      <c r="O8" s="496"/>
      <c r="P8" s="496"/>
      <c r="Q8" s="496"/>
      <c r="R8" s="496"/>
      <c r="S8" s="55"/>
    </row>
    <row r="9" spans="1:20">
      <c r="A9" s="55"/>
      <c r="B9" s="74">
        <v>2.5</v>
      </c>
      <c r="C9" s="60" t="s">
        <v>30</v>
      </c>
      <c r="D9" s="481" t="s">
        <v>768</v>
      </c>
      <c r="E9" s="482"/>
      <c r="F9" s="487" t="s">
        <v>814</v>
      </c>
      <c r="G9" s="487"/>
      <c r="H9" s="487"/>
      <c r="I9" s="487"/>
      <c r="J9" s="487"/>
      <c r="K9" s="487"/>
      <c r="L9" s="487"/>
      <c r="M9" s="487"/>
      <c r="N9" s="487"/>
      <c r="O9" s="487"/>
      <c r="P9" s="487"/>
      <c r="Q9" s="487"/>
      <c r="R9" s="487"/>
      <c r="S9" s="55"/>
      <c r="T9" s="38"/>
    </row>
    <row r="10" spans="1:20">
      <c r="A10" s="55"/>
      <c r="B10" s="66"/>
      <c r="C10" s="61" t="s">
        <v>30</v>
      </c>
      <c r="D10" s="478" t="s">
        <v>761</v>
      </c>
      <c r="E10" s="483"/>
      <c r="F10" s="475" t="s">
        <v>414</v>
      </c>
      <c r="G10" s="475"/>
      <c r="H10" s="475"/>
      <c r="I10" s="475"/>
      <c r="J10" s="475"/>
      <c r="K10" s="475"/>
      <c r="L10" s="475"/>
      <c r="M10" s="475"/>
      <c r="N10" s="475"/>
      <c r="O10" s="475"/>
      <c r="P10" s="475"/>
      <c r="Q10" s="475"/>
      <c r="R10" s="475"/>
      <c r="S10" s="55"/>
      <c r="T10" s="38"/>
    </row>
    <row r="11" spans="1:20">
      <c r="A11" s="55"/>
      <c r="B11" s="66"/>
      <c r="C11" s="61" t="s">
        <v>30</v>
      </c>
      <c r="D11" s="478" t="s">
        <v>757</v>
      </c>
      <c r="E11" s="483"/>
      <c r="F11" s="475" t="s">
        <v>415</v>
      </c>
      <c r="G11" s="475"/>
      <c r="H11" s="475"/>
      <c r="I11" s="475"/>
      <c r="J11" s="475"/>
      <c r="K11" s="475"/>
      <c r="L11" s="475"/>
      <c r="M11" s="475"/>
      <c r="N11" s="475"/>
      <c r="O11" s="475"/>
      <c r="P11" s="475"/>
      <c r="Q11" s="475"/>
      <c r="R11" s="475"/>
      <c r="S11" s="55"/>
      <c r="T11" s="38"/>
    </row>
    <row r="12" spans="1:20">
      <c r="A12" s="55"/>
      <c r="B12" s="66"/>
      <c r="C12" s="61" t="s">
        <v>30</v>
      </c>
      <c r="D12" s="478" t="s">
        <v>722</v>
      </c>
      <c r="E12" s="483"/>
      <c r="F12" s="475" t="s">
        <v>739</v>
      </c>
      <c r="G12" s="475"/>
      <c r="H12" s="475"/>
      <c r="I12" s="475"/>
      <c r="J12" s="475"/>
      <c r="K12" s="475"/>
      <c r="L12" s="475"/>
      <c r="M12" s="475"/>
      <c r="N12" s="475"/>
      <c r="O12" s="475"/>
      <c r="P12" s="475"/>
      <c r="Q12" s="475"/>
      <c r="R12" s="475"/>
      <c r="S12" s="56"/>
      <c r="T12" s="53"/>
    </row>
    <row r="13" spans="1:20">
      <c r="A13" s="55"/>
      <c r="B13" s="66"/>
      <c r="C13" s="61"/>
      <c r="D13" s="478"/>
      <c r="E13" s="483"/>
      <c r="F13" s="475" t="s">
        <v>769</v>
      </c>
      <c r="G13" s="475"/>
      <c r="H13" s="475"/>
      <c r="I13" s="475"/>
      <c r="J13" s="475"/>
      <c r="K13" s="475"/>
      <c r="L13" s="475"/>
      <c r="M13" s="475"/>
      <c r="N13" s="475"/>
      <c r="O13" s="475"/>
      <c r="P13" s="475"/>
      <c r="Q13" s="475"/>
      <c r="R13" s="475"/>
      <c r="S13" s="55"/>
      <c r="T13" s="38"/>
    </row>
    <row r="14" spans="1:20">
      <c r="A14" s="55"/>
      <c r="B14" s="66"/>
      <c r="C14" s="61"/>
      <c r="D14" s="478" t="s">
        <v>476</v>
      </c>
      <c r="E14" s="483"/>
      <c r="F14" s="90" t="s">
        <v>770</v>
      </c>
      <c r="G14" s="90"/>
      <c r="H14" s="492" t="str">
        <f ca="1">VLOOKUP("Page Number",Zone_Traduction,ref_langue,FALSE)</f>
        <v>Page Number</v>
      </c>
      <c r="I14" s="493"/>
      <c r="J14" s="492" t="str">
        <f ca="1">VLOOKUP("Book Name",Zone_Traduction,ref_langue,FALSE)</f>
        <v>Book Name</v>
      </c>
      <c r="K14" s="511"/>
      <c r="L14" s="493"/>
      <c r="M14" s="492" t="str">
        <f ca="1">VLOOKUP("List Name",Zone_Traduction,ref_langue,FALSE)</f>
        <v>List Name</v>
      </c>
      <c r="N14" s="493"/>
      <c r="O14" s="90"/>
      <c r="P14" s="90"/>
      <c r="Q14" s="90"/>
      <c r="R14" s="91"/>
      <c r="S14" s="55"/>
    </row>
    <row r="15" spans="1:20">
      <c r="A15" s="55"/>
      <c r="B15" s="66"/>
      <c r="C15" s="61"/>
      <c r="D15" s="478"/>
      <c r="E15" s="483"/>
      <c r="F15" s="90"/>
      <c r="G15" s="90"/>
      <c r="H15" s="494">
        <v>23</v>
      </c>
      <c r="I15" s="495"/>
      <c r="J15" s="512" t="s">
        <v>344</v>
      </c>
      <c r="K15" s="513"/>
      <c r="L15" s="514"/>
      <c r="M15" s="517" t="s">
        <v>355</v>
      </c>
      <c r="N15" s="518"/>
      <c r="O15" s="90"/>
      <c r="P15" s="90"/>
      <c r="Q15" s="90"/>
      <c r="R15" s="91"/>
      <c r="S15" s="55"/>
    </row>
    <row r="16" spans="1:20">
      <c r="A16" s="55"/>
      <c r="B16" s="66"/>
      <c r="C16" s="61" t="s">
        <v>30</v>
      </c>
      <c r="D16" s="478" t="s">
        <v>771</v>
      </c>
      <c r="E16" s="483"/>
      <c r="F16" s="475" t="s">
        <v>772</v>
      </c>
      <c r="G16" s="475"/>
      <c r="H16" s="475"/>
      <c r="I16" s="475"/>
      <c r="J16" s="475"/>
      <c r="K16" s="475"/>
      <c r="L16" s="475"/>
      <c r="M16" s="475"/>
      <c r="N16" s="475"/>
      <c r="O16" s="475"/>
      <c r="P16" s="475"/>
      <c r="Q16" s="475"/>
      <c r="R16" s="475"/>
      <c r="S16" s="55"/>
    </row>
    <row r="17" spans="1:19">
      <c r="A17" s="55"/>
      <c r="B17" s="67"/>
      <c r="C17" s="63" t="s">
        <v>30</v>
      </c>
      <c r="D17" s="478" t="s">
        <v>708</v>
      </c>
      <c r="E17" s="483"/>
      <c r="F17" s="496" t="s">
        <v>776</v>
      </c>
      <c r="G17" s="496"/>
      <c r="H17" s="496"/>
      <c r="I17" s="496"/>
      <c r="J17" s="496"/>
      <c r="K17" s="496"/>
      <c r="L17" s="496"/>
      <c r="M17" s="496"/>
      <c r="N17" s="496"/>
      <c r="O17" s="496"/>
      <c r="P17" s="496"/>
      <c r="Q17" s="496"/>
      <c r="R17" s="496"/>
      <c r="S17" s="55"/>
    </row>
    <row r="18" spans="1:19">
      <c r="A18" s="55"/>
      <c r="B18" s="68">
        <v>2.4</v>
      </c>
      <c r="C18" s="64" t="s">
        <v>30</v>
      </c>
      <c r="D18" s="515" t="s">
        <v>785</v>
      </c>
      <c r="E18" s="516"/>
      <c r="F18" s="473" t="s">
        <v>822</v>
      </c>
      <c r="G18" s="473"/>
      <c r="H18" s="473"/>
      <c r="I18" s="473"/>
      <c r="J18" s="473"/>
      <c r="K18" s="473"/>
      <c r="L18" s="473"/>
      <c r="M18" s="473"/>
      <c r="N18" s="473"/>
      <c r="O18" s="473"/>
      <c r="P18" s="473"/>
      <c r="Q18" s="473"/>
      <c r="R18" s="473"/>
      <c r="S18" s="55"/>
    </row>
    <row r="19" spans="1:19">
      <c r="A19" s="55"/>
      <c r="B19" s="66" t="s">
        <v>735</v>
      </c>
      <c r="C19" s="61" t="s">
        <v>30</v>
      </c>
      <c r="D19" s="478" t="s">
        <v>763</v>
      </c>
      <c r="E19" s="483"/>
      <c r="F19" s="487" t="s">
        <v>774</v>
      </c>
      <c r="G19" s="487"/>
      <c r="H19" s="487"/>
      <c r="I19" s="487"/>
      <c r="J19" s="487"/>
      <c r="K19" s="487"/>
      <c r="L19" s="487"/>
      <c r="M19" s="487"/>
      <c r="N19" s="487"/>
      <c r="O19" s="487"/>
      <c r="P19" s="487"/>
      <c r="Q19" s="487"/>
      <c r="R19" s="487"/>
      <c r="S19" s="55"/>
    </row>
    <row r="20" spans="1:19">
      <c r="A20" s="55"/>
      <c r="B20" s="66"/>
      <c r="C20" s="61" t="s">
        <v>30</v>
      </c>
      <c r="D20" s="478" t="s">
        <v>775</v>
      </c>
      <c r="E20" s="483"/>
      <c r="F20" s="475" t="s">
        <v>336</v>
      </c>
      <c r="G20" s="475"/>
      <c r="H20" s="475"/>
      <c r="I20" s="475"/>
      <c r="J20" s="475"/>
      <c r="K20" s="475"/>
      <c r="L20" s="475"/>
      <c r="M20" s="475"/>
      <c r="N20" s="475"/>
      <c r="O20" s="475"/>
      <c r="P20" s="475"/>
      <c r="Q20" s="475"/>
      <c r="R20" s="475"/>
      <c r="S20" s="55"/>
    </row>
    <row r="21" spans="1:19">
      <c r="A21" s="55"/>
      <c r="B21" s="67"/>
      <c r="C21" s="63" t="s">
        <v>30</v>
      </c>
      <c r="D21" s="484" t="s">
        <v>773</v>
      </c>
      <c r="E21" s="485"/>
      <c r="F21" s="496" t="s">
        <v>818</v>
      </c>
      <c r="G21" s="496"/>
      <c r="H21" s="496"/>
      <c r="I21" s="496"/>
      <c r="J21" s="496"/>
      <c r="K21" s="496"/>
      <c r="L21" s="496"/>
      <c r="M21" s="496"/>
      <c r="N21" s="496"/>
      <c r="O21" s="496"/>
      <c r="P21" s="496"/>
      <c r="Q21" s="496"/>
      <c r="R21" s="496"/>
      <c r="S21" s="55"/>
    </row>
    <row r="22" spans="1:19">
      <c r="A22" s="55"/>
      <c r="B22" s="66" t="s">
        <v>736</v>
      </c>
      <c r="C22" s="61" t="s">
        <v>30</v>
      </c>
      <c r="D22" s="478" t="s">
        <v>819</v>
      </c>
      <c r="E22" s="483"/>
      <c r="F22" s="487" t="s">
        <v>820</v>
      </c>
      <c r="G22" s="487"/>
      <c r="H22" s="487"/>
      <c r="I22" s="487"/>
      <c r="J22" s="487"/>
      <c r="K22" s="487"/>
      <c r="L22" s="487"/>
      <c r="M22" s="487"/>
      <c r="N22" s="487"/>
      <c r="O22" s="487"/>
      <c r="P22" s="487"/>
      <c r="Q22" s="487"/>
      <c r="R22" s="487"/>
      <c r="S22" s="55"/>
    </row>
    <row r="23" spans="1:19">
      <c r="A23" s="55"/>
      <c r="B23" s="67"/>
      <c r="C23" s="63" t="s">
        <v>30</v>
      </c>
      <c r="D23" s="484" t="s">
        <v>786</v>
      </c>
      <c r="E23" s="485"/>
      <c r="F23" s="496" t="s">
        <v>821</v>
      </c>
      <c r="G23" s="496"/>
      <c r="H23" s="496"/>
      <c r="I23" s="496"/>
      <c r="J23" s="496"/>
      <c r="K23" s="496"/>
      <c r="L23" s="496"/>
      <c r="M23" s="496"/>
      <c r="N23" s="496"/>
      <c r="O23" s="496"/>
      <c r="P23" s="496"/>
      <c r="Q23" s="496"/>
      <c r="R23" s="496"/>
      <c r="S23" s="55"/>
    </row>
    <row r="24" spans="1:19">
      <c r="A24" s="55"/>
      <c r="B24" s="66" t="s">
        <v>737</v>
      </c>
      <c r="C24" s="61" t="s">
        <v>30</v>
      </c>
      <c r="D24" s="478" t="s">
        <v>782</v>
      </c>
      <c r="E24" s="483"/>
      <c r="F24" s="519" t="s">
        <v>787</v>
      </c>
      <c r="G24" s="487"/>
      <c r="H24" s="487"/>
      <c r="I24" s="487"/>
      <c r="J24" s="487"/>
      <c r="K24" s="487"/>
      <c r="L24" s="487"/>
      <c r="M24" s="487"/>
      <c r="N24" s="487"/>
      <c r="O24" s="487"/>
      <c r="P24" s="487"/>
      <c r="Q24" s="487"/>
      <c r="R24" s="487"/>
      <c r="S24" s="55"/>
    </row>
    <row r="25" spans="1:19">
      <c r="A25" s="55"/>
      <c r="B25" s="66"/>
      <c r="C25" s="61" t="s">
        <v>30</v>
      </c>
      <c r="D25" s="478" t="s">
        <v>779</v>
      </c>
      <c r="E25" s="483"/>
      <c r="F25" s="475" t="s">
        <v>778</v>
      </c>
      <c r="G25" s="475"/>
      <c r="H25" s="475"/>
      <c r="I25" s="475"/>
      <c r="J25" s="475"/>
      <c r="K25" s="475"/>
      <c r="L25" s="475"/>
      <c r="M25" s="475"/>
      <c r="N25" s="475"/>
      <c r="O25" s="475"/>
      <c r="P25" s="475"/>
      <c r="Q25" s="475"/>
      <c r="R25" s="475"/>
      <c r="S25" s="55"/>
    </row>
    <row r="26" spans="1:19">
      <c r="A26" s="55"/>
      <c r="B26" s="66"/>
      <c r="C26" s="61" t="s">
        <v>30</v>
      </c>
      <c r="D26" s="478" t="s">
        <v>779</v>
      </c>
      <c r="E26" s="483"/>
      <c r="F26" s="475" t="s">
        <v>780</v>
      </c>
      <c r="G26" s="475"/>
      <c r="H26" s="475"/>
      <c r="I26" s="475"/>
      <c r="J26" s="475"/>
      <c r="K26" s="475"/>
      <c r="L26" s="475"/>
      <c r="M26" s="475"/>
      <c r="N26" s="475"/>
      <c r="O26" s="475"/>
      <c r="P26" s="475"/>
      <c r="Q26" s="475"/>
      <c r="R26" s="475"/>
      <c r="S26" s="55"/>
    </row>
    <row r="27" spans="1:19">
      <c r="A27" s="55"/>
      <c r="B27" s="66"/>
      <c r="C27" s="61" t="s">
        <v>30</v>
      </c>
      <c r="D27" s="478" t="s">
        <v>781</v>
      </c>
      <c r="E27" s="483"/>
      <c r="F27" s="475" t="s">
        <v>788</v>
      </c>
      <c r="G27" s="475"/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55"/>
    </row>
    <row r="28" spans="1:19">
      <c r="A28" s="55"/>
      <c r="B28" s="67"/>
      <c r="C28" s="63" t="s">
        <v>30</v>
      </c>
      <c r="D28" s="484" t="s">
        <v>783</v>
      </c>
      <c r="E28" s="485"/>
      <c r="F28" s="496" t="s">
        <v>313</v>
      </c>
      <c r="G28" s="496"/>
      <c r="H28" s="496"/>
      <c r="I28" s="496"/>
      <c r="J28" s="496"/>
      <c r="K28" s="496"/>
      <c r="L28" s="496"/>
      <c r="M28" s="496"/>
      <c r="N28" s="496"/>
      <c r="O28" s="496"/>
      <c r="P28" s="496"/>
      <c r="Q28" s="496"/>
      <c r="R28" s="496"/>
      <c r="S28" s="55"/>
    </row>
    <row r="29" spans="1:19">
      <c r="A29" s="55"/>
      <c r="B29" s="66" t="s">
        <v>738</v>
      </c>
      <c r="C29" s="61" t="s">
        <v>30</v>
      </c>
      <c r="D29" s="481" t="s">
        <v>816</v>
      </c>
      <c r="E29" s="482"/>
      <c r="F29" s="481" t="s">
        <v>811</v>
      </c>
      <c r="G29" s="506"/>
      <c r="H29" s="506"/>
      <c r="I29" s="506"/>
      <c r="J29" s="506"/>
      <c r="K29" s="506"/>
      <c r="L29" s="506"/>
      <c r="M29" s="506"/>
      <c r="N29" s="506"/>
      <c r="O29" s="506"/>
      <c r="P29" s="506"/>
      <c r="Q29" s="506"/>
      <c r="R29" s="506"/>
      <c r="S29" s="55"/>
    </row>
    <row r="30" spans="1:19">
      <c r="A30" s="55"/>
      <c r="B30" s="66"/>
      <c r="C30" s="61" t="s">
        <v>30</v>
      </c>
      <c r="D30" s="478" t="s">
        <v>694</v>
      </c>
      <c r="E30" s="483"/>
      <c r="F30" s="478" t="s">
        <v>295</v>
      </c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55"/>
    </row>
    <row r="31" spans="1:19">
      <c r="A31" s="55"/>
      <c r="B31" s="66"/>
      <c r="C31" s="61" t="s">
        <v>30</v>
      </c>
      <c r="D31" s="478" t="s">
        <v>789</v>
      </c>
      <c r="E31" s="483"/>
      <c r="F31" s="478" t="s">
        <v>296</v>
      </c>
      <c r="G31" s="465"/>
      <c r="H31" s="465"/>
      <c r="I31" s="465"/>
      <c r="J31" s="465"/>
      <c r="K31" s="465"/>
      <c r="L31" s="465"/>
      <c r="M31" s="465"/>
      <c r="N31" s="465"/>
      <c r="O31" s="465"/>
      <c r="P31" s="465"/>
      <c r="Q31" s="465"/>
      <c r="R31" s="465"/>
      <c r="S31" s="55"/>
    </row>
    <row r="32" spans="1:19">
      <c r="A32" s="55"/>
      <c r="B32" s="66"/>
      <c r="C32" s="61" t="s">
        <v>30</v>
      </c>
      <c r="D32" s="478" t="s">
        <v>781</v>
      </c>
      <c r="E32" s="483"/>
      <c r="F32" s="478" t="s">
        <v>297</v>
      </c>
      <c r="G32" s="465"/>
      <c r="H32" s="465"/>
      <c r="I32" s="465"/>
      <c r="J32" s="465"/>
      <c r="K32" s="465"/>
      <c r="L32" s="465"/>
      <c r="M32" s="465"/>
      <c r="N32" s="465"/>
      <c r="O32" s="465"/>
      <c r="P32" s="465"/>
      <c r="Q32" s="465"/>
      <c r="R32" s="465"/>
      <c r="S32" s="55"/>
    </row>
    <row r="33" spans="1:19">
      <c r="A33" s="55"/>
      <c r="B33" s="66"/>
      <c r="C33" s="61" t="s">
        <v>30</v>
      </c>
      <c r="D33" s="478" t="s">
        <v>790</v>
      </c>
      <c r="E33" s="483"/>
      <c r="F33" s="478" t="s">
        <v>791</v>
      </c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55"/>
    </row>
    <row r="34" spans="1:19">
      <c r="A34" s="55"/>
      <c r="B34" s="66"/>
      <c r="C34" s="61" t="s">
        <v>30</v>
      </c>
      <c r="D34" s="478" t="s">
        <v>792</v>
      </c>
      <c r="E34" s="483"/>
      <c r="F34" s="478" t="s">
        <v>298</v>
      </c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55"/>
    </row>
    <row r="35" spans="1:19">
      <c r="A35" s="55"/>
      <c r="B35" s="66"/>
      <c r="C35" s="61" t="s">
        <v>30</v>
      </c>
      <c r="D35" s="478" t="s">
        <v>793</v>
      </c>
      <c r="E35" s="483"/>
      <c r="F35" s="478" t="s">
        <v>299</v>
      </c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55"/>
    </row>
    <row r="36" spans="1:19">
      <c r="A36" s="55"/>
      <c r="B36" s="67"/>
      <c r="C36" s="63" t="s">
        <v>30</v>
      </c>
      <c r="D36" s="478" t="s">
        <v>794</v>
      </c>
      <c r="E36" s="483"/>
      <c r="F36" s="484" t="s">
        <v>300</v>
      </c>
      <c r="G36" s="491"/>
      <c r="H36" s="491"/>
      <c r="I36" s="491"/>
      <c r="J36" s="491"/>
      <c r="K36" s="491"/>
      <c r="L36" s="491"/>
      <c r="M36" s="491"/>
      <c r="N36" s="491"/>
      <c r="O36" s="491"/>
      <c r="P36" s="491"/>
      <c r="Q36" s="491"/>
      <c r="R36" s="491"/>
      <c r="S36" s="55"/>
    </row>
    <row r="37" spans="1:19">
      <c r="A37" s="55"/>
      <c r="B37" s="66">
        <v>1.7</v>
      </c>
      <c r="C37" s="61" t="s">
        <v>30</v>
      </c>
      <c r="D37" s="481" t="s">
        <v>797</v>
      </c>
      <c r="E37" s="482"/>
      <c r="F37" s="481" t="s">
        <v>198</v>
      </c>
      <c r="G37" s="506"/>
      <c r="H37" s="506"/>
      <c r="I37" s="506"/>
      <c r="J37" s="506"/>
      <c r="K37" s="506"/>
      <c r="L37" s="506"/>
      <c r="M37" s="506"/>
      <c r="N37" s="506"/>
      <c r="O37" s="506"/>
      <c r="P37" s="506"/>
      <c r="Q37" s="506"/>
      <c r="R37" s="506"/>
      <c r="S37" s="55"/>
    </row>
    <row r="38" spans="1:19">
      <c r="A38" s="55"/>
      <c r="B38" s="66"/>
      <c r="C38" s="61" t="s">
        <v>30</v>
      </c>
      <c r="D38" s="478" t="s">
        <v>795</v>
      </c>
      <c r="E38" s="483"/>
      <c r="F38" s="478" t="s">
        <v>796</v>
      </c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55"/>
    </row>
    <row r="39" spans="1:19">
      <c r="A39" s="55"/>
      <c r="B39" s="66"/>
      <c r="C39" s="61" t="s">
        <v>30</v>
      </c>
      <c r="D39" s="478" t="s">
        <v>54</v>
      </c>
      <c r="E39" s="483"/>
      <c r="F39" s="478" t="s">
        <v>199</v>
      </c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55"/>
    </row>
    <row r="40" spans="1:19">
      <c r="A40" s="55"/>
      <c r="B40" s="67"/>
      <c r="C40" s="63" t="s">
        <v>30</v>
      </c>
      <c r="D40" s="484" t="s">
        <v>817</v>
      </c>
      <c r="E40" s="485"/>
      <c r="F40" s="484" t="s">
        <v>200</v>
      </c>
      <c r="G40" s="491"/>
      <c r="H40" s="491"/>
      <c r="I40" s="491"/>
      <c r="J40" s="491"/>
      <c r="K40" s="491"/>
      <c r="L40" s="491"/>
      <c r="M40" s="491"/>
      <c r="N40" s="491"/>
      <c r="O40" s="491"/>
      <c r="P40" s="491"/>
      <c r="Q40" s="491"/>
      <c r="R40" s="491"/>
      <c r="S40" s="55"/>
    </row>
    <row r="41" spans="1:19">
      <c r="A41" s="55"/>
      <c r="B41" s="66">
        <v>1.6</v>
      </c>
      <c r="C41" s="61" t="s">
        <v>30</v>
      </c>
      <c r="D41" s="481" t="s">
        <v>815</v>
      </c>
      <c r="E41" s="482"/>
      <c r="F41" s="481" t="s">
        <v>798</v>
      </c>
      <c r="G41" s="506"/>
      <c r="H41" s="506"/>
      <c r="I41" s="506"/>
      <c r="J41" s="506"/>
      <c r="K41" s="506"/>
      <c r="L41" s="506"/>
      <c r="M41" s="506"/>
      <c r="N41" s="506"/>
      <c r="O41" s="506"/>
      <c r="P41" s="506"/>
      <c r="Q41" s="506"/>
      <c r="R41" s="506"/>
      <c r="S41" s="55"/>
    </row>
    <row r="42" spans="1:19">
      <c r="A42" s="55"/>
      <c r="B42" s="66"/>
      <c r="C42" s="61" t="s">
        <v>30</v>
      </c>
      <c r="D42" s="478" t="s">
        <v>795</v>
      </c>
      <c r="E42" s="483"/>
      <c r="F42" s="478" t="s">
        <v>799</v>
      </c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465"/>
      <c r="S42" s="55"/>
    </row>
    <row r="43" spans="1:19">
      <c r="A43" s="55"/>
      <c r="B43" s="67"/>
      <c r="C43" s="63" t="s">
        <v>30</v>
      </c>
      <c r="D43" s="478" t="s">
        <v>694</v>
      </c>
      <c r="E43" s="483"/>
      <c r="F43" s="484" t="s">
        <v>760</v>
      </c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  <c r="S43" s="55"/>
    </row>
    <row r="44" spans="1:19">
      <c r="A44" s="55"/>
      <c r="B44" s="66">
        <v>1.5</v>
      </c>
      <c r="C44" s="61" t="s">
        <v>30</v>
      </c>
      <c r="D44" s="481" t="s">
        <v>694</v>
      </c>
      <c r="E44" s="482"/>
      <c r="F44" s="481" t="s">
        <v>800</v>
      </c>
      <c r="G44" s="506"/>
      <c r="H44" s="506"/>
      <c r="I44" s="506"/>
      <c r="J44" s="506"/>
      <c r="K44" s="506"/>
      <c r="L44" s="506"/>
      <c r="M44" s="506"/>
      <c r="N44" s="506"/>
      <c r="O44" s="506"/>
      <c r="P44" s="506"/>
      <c r="Q44" s="506"/>
      <c r="R44" s="506"/>
      <c r="S44" s="55"/>
    </row>
    <row r="45" spans="1:19">
      <c r="A45" s="55"/>
      <c r="B45" s="66"/>
      <c r="C45" s="61" t="s">
        <v>30</v>
      </c>
      <c r="D45" s="478" t="s">
        <v>810</v>
      </c>
      <c r="E45" s="483"/>
      <c r="F45" s="478" t="s">
        <v>76</v>
      </c>
      <c r="G45" s="465"/>
      <c r="H45" s="465"/>
      <c r="I45" s="465"/>
      <c r="J45" s="465"/>
      <c r="K45" s="465"/>
      <c r="L45" s="465"/>
      <c r="M45" s="465"/>
      <c r="N45" s="465"/>
      <c r="O45" s="465"/>
      <c r="P45" s="465"/>
      <c r="Q45" s="465"/>
      <c r="R45" s="465"/>
      <c r="S45" s="55"/>
    </row>
    <row r="46" spans="1:19">
      <c r="A46" s="55"/>
      <c r="B46" s="66"/>
      <c r="C46" s="61" t="s">
        <v>30</v>
      </c>
      <c r="D46" s="478" t="s">
        <v>808</v>
      </c>
      <c r="E46" s="483"/>
      <c r="F46" s="478" t="s">
        <v>809</v>
      </c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55"/>
    </row>
    <row r="47" spans="1:19">
      <c r="A47" s="55"/>
      <c r="B47" s="66"/>
      <c r="C47" s="61" t="s">
        <v>30</v>
      </c>
      <c r="D47" s="478" t="s">
        <v>789</v>
      </c>
      <c r="E47" s="483"/>
      <c r="F47" s="478" t="s">
        <v>807</v>
      </c>
      <c r="G47" s="465"/>
      <c r="H47" s="465"/>
      <c r="I47" s="465"/>
      <c r="J47" s="465"/>
      <c r="K47" s="465"/>
      <c r="L47" s="465"/>
      <c r="M47" s="465"/>
      <c r="N47" s="465"/>
      <c r="O47" s="465"/>
      <c r="P47" s="465"/>
      <c r="Q47" s="465"/>
      <c r="R47" s="465"/>
      <c r="S47" s="55"/>
    </row>
    <row r="48" spans="1:19">
      <c r="A48" s="55"/>
      <c r="B48" s="66"/>
      <c r="C48" s="61" t="s">
        <v>30</v>
      </c>
      <c r="D48" s="478" t="s">
        <v>801</v>
      </c>
      <c r="E48" s="483"/>
      <c r="F48" s="478" t="s">
        <v>802</v>
      </c>
      <c r="G48" s="465"/>
      <c r="H48" s="465"/>
      <c r="I48" s="465"/>
      <c r="J48" s="465"/>
      <c r="K48" s="465"/>
      <c r="L48" s="465"/>
      <c r="M48" s="465"/>
      <c r="N48" s="465"/>
      <c r="O48" s="465"/>
      <c r="P48" s="465"/>
      <c r="Q48" s="465"/>
      <c r="R48" s="465"/>
      <c r="S48" s="55"/>
    </row>
    <row r="49" spans="1:19">
      <c r="A49" s="55"/>
      <c r="B49" s="66"/>
      <c r="C49" s="61" t="s">
        <v>30</v>
      </c>
      <c r="D49" s="478" t="s">
        <v>781</v>
      </c>
      <c r="E49" s="483"/>
      <c r="F49" s="478" t="s">
        <v>803</v>
      </c>
      <c r="G49" s="465"/>
      <c r="H49" s="465"/>
      <c r="I49" s="465"/>
      <c r="J49" s="465"/>
      <c r="K49" s="465"/>
      <c r="L49" s="465"/>
      <c r="M49" s="465"/>
      <c r="N49" s="465"/>
      <c r="O49" s="465"/>
      <c r="P49" s="465"/>
      <c r="Q49" s="465"/>
      <c r="R49" s="465"/>
      <c r="S49" s="55"/>
    </row>
    <row r="50" spans="1:19">
      <c r="A50" s="55"/>
      <c r="B50" s="66"/>
      <c r="C50" s="61" t="s">
        <v>30</v>
      </c>
      <c r="D50" s="478" t="s">
        <v>54</v>
      </c>
      <c r="E50" s="483"/>
      <c r="F50" s="478" t="s">
        <v>806</v>
      </c>
      <c r="G50" s="465"/>
      <c r="H50" s="465"/>
      <c r="I50" s="465"/>
      <c r="J50" s="465"/>
      <c r="K50" s="465"/>
      <c r="L50" s="465"/>
      <c r="M50" s="465"/>
      <c r="N50" s="465"/>
      <c r="O50" s="465"/>
      <c r="P50" s="465"/>
      <c r="Q50" s="465"/>
      <c r="R50" s="465"/>
      <c r="S50" s="55"/>
    </row>
    <row r="51" spans="1:19">
      <c r="A51" s="55"/>
      <c r="B51" s="67"/>
      <c r="C51" s="63" t="s">
        <v>30</v>
      </c>
      <c r="D51" s="484" t="s">
        <v>804</v>
      </c>
      <c r="E51" s="485"/>
      <c r="F51" s="484" t="s">
        <v>805</v>
      </c>
      <c r="G51" s="491"/>
      <c r="H51" s="491"/>
      <c r="I51" s="491"/>
      <c r="J51" s="491"/>
      <c r="K51" s="491"/>
      <c r="L51" s="491"/>
      <c r="M51" s="491"/>
      <c r="N51" s="491"/>
      <c r="O51" s="491"/>
      <c r="P51" s="491"/>
      <c r="Q51" s="491"/>
      <c r="R51" s="491"/>
      <c r="S51" s="55"/>
    </row>
    <row r="52" spans="1:19">
      <c r="A52" s="55"/>
      <c r="B52" s="71"/>
      <c r="C52" s="71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</row>
    <row r="60" spans="1:19">
      <c r="D60" s="1"/>
    </row>
    <row r="61" spans="1:19">
      <c r="D61" s="1"/>
    </row>
    <row r="72" spans="4:4">
      <c r="D72" s="1"/>
    </row>
    <row r="79" spans="4:4">
      <c r="D79" s="1"/>
    </row>
    <row r="85" spans="4:4">
      <c r="D85" s="1"/>
    </row>
  </sheetData>
  <mergeCells count="106">
    <mergeCell ref="F13:R13"/>
    <mergeCell ref="D13:E13"/>
    <mergeCell ref="F26:R26"/>
    <mergeCell ref="D26:E26"/>
    <mergeCell ref="F27:R27"/>
    <mergeCell ref="D4:E4"/>
    <mergeCell ref="D3:E3"/>
    <mergeCell ref="F3:R3"/>
    <mergeCell ref="F5:R5"/>
    <mergeCell ref="F4:R4"/>
    <mergeCell ref="M15:N15"/>
    <mergeCell ref="M14:N14"/>
    <mergeCell ref="F19:R19"/>
    <mergeCell ref="D22:E22"/>
    <mergeCell ref="F24:R24"/>
    <mergeCell ref="D8:E8"/>
    <mergeCell ref="D7:E7"/>
    <mergeCell ref="F28:R28"/>
    <mergeCell ref="D28:E28"/>
    <mergeCell ref="D24:E24"/>
    <mergeCell ref="D39:E39"/>
    <mergeCell ref="F38:R38"/>
    <mergeCell ref="F39:R39"/>
    <mergeCell ref="F37:R37"/>
    <mergeCell ref="J14:L14"/>
    <mergeCell ref="H15:I15"/>
    <mergeCell ref="J15:L15"/>
    <mergeCell ref="F36:R36"/>
    <mergeCell ref="D31:E31"/>
    <mergeCell ref="D32:E32"/>
    <mergeCell ref="F18:R18"/>
    <mergeCell ref="D18:E18"/>
    <mergeCell ref="D19:E19"/>
    <mergeCell ref="F22:R22"/>
    <mergeCell ref="F23:R23"/>
    <mergeCell ref="D23:E23"/>
    <mergeCell ref="F25:R25"/>
    <mergeCell ref="F20:R20"/>
    <mergeCell ref="F21:R21"/>
    <mergeCell ref="D20:E20"/>
    <mergeCell ref="D21:E21"/>
    <mergeCell ref="B1:R1"/>
    <mergeCell ref="B2:C2"/>
    <mergeCell ref="F11:R11"/>
    <mergeCell ref="D17:E17"/>
    <mergeCell ref="F2:R2"/>
    <mergeCell ref="D2:E2"/>
    <mergeCell ref="F7:R7"/>
    <mergeCell ref="F8:R8"/>
    <mergeCell ref="F10:R10"/>
    <mergeCell ref="D11:E11"/>
    <mergeCell ref="F9:R9"/>
    <mergeCell ref="F12:R12"/>
    <mergeCell ref="D16:E16"/>
    <mergeCell ref="F17:R17"/>
    <mergeCell ref="D10:E10"/>
    <mergeCell ref="D9:E9"/>
    <mergeCell ref="F16:R16"/>
    <mergeCell ref="H14:I14"/>
    <mergeCell ref="D14:E14"/>
    <mergeCell ref="D15:E15"/>
    <mergeCell ref="D6:E6"/>
    <mergeCell ref="D5:E5"/>
    <mergeCell ref="F6:R6"/>
    <mergeCell ref="D12:E12"/>
    <mergeCell ref="D29:E29"/>
    <mergeCell ref="D30:E30"/>
    <mergeCell ref="D27:E27"/>
    <mergeCell ref="D46:E46"/>
    <mergeCell ref="D25:E25"/>
    <mergeCell ref="D43:E43"/>
    <mergeCell ref="D37:E37"/>
    <mergeCell ref="D38:E38"/>
    <mergeCell ref="D33:E33"/>
    <mergeCell ref="D34:E34"/>
    <mergeCell ref="D35:E35"/>
    <mergeCell ref="D36:E36"/>
    <mergeCell ref="D45:E45"/>
    <mergeCell ref="D40:E40"/>
    <mergeCell ref="D41:E41"/>
    <mergeCell ref="D42:E42"/>
    <mergeCell ref="D44:E44"/>
    <mergeCell ref="D47:E47"/>
    <mergeCell ref="D48:E48"/>
    <mergeCell ref="D49:E49"/>
    <mergeCell ref="D50:E50"/>
    <mergeCell ref="D51:E51"/>
    <mergeCell ref="F29:R29"/>
    <mergeCell ref="F30:R30"/>
    <mergeCell ref="F31:R31"/>
    <mergeCell ref="F32:R32"/>
    <mergeCell ref="F33:R33"/>
    <mergeCell ref="F34:R34"/>
    <mergeCell ref="F35:R35"/>
    <mergeCell ref="F44:R44"/>
    <mergeCell ref="F45:R45"/>
    <mergeCell ref="F40:R40"/>
    <mergeCell ref="F41:R41"/>
    <mergeCell ref="F42:R42"/>
    <mergeCell ref="F51:R51"/>
    <mergeCell ref="F46:R46"/>
    <mergeCell ref="F43:R43"/>
    <mergeCell ref="F50:R50"/>
    <mergeCell ref="F47:R47"/>
    <mergeCell ref="F48:R48"/>
    <mergeCell ref="F49:R49"/>
  </mergeCells>
  <phoneticPr fontId="0" type="noConversion"/>
  <dataValidations count="1">
    <dataValidation type="list" allowBlank="1" showInputMessage="1" showErrorMessage="1" sqref="J15:L15">
      <formula1>livret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1:AN88"/>
  <sheetViews>
    <sheetView workbookViewId="0">
      <pane ySplit="2" topLeftCell="A3" activePane="bottomLeft" state="frozen"/>
      <selection activeCell="C25" sqref="C25"/>
      <selection pane="bottomLeft" activeCell="C25" sqref="C25"/>
    </sheetView>
  </sheetViews>
  <sheetFormatPr defaultColWidth="11.42578125" defaultRowHeight="12.75"/>
  <cols>
    <col min="1" max="1" width="1.85546875" customWidth="1"/>
    <col min="2" max="2" width="5.7109375" style="70" customWidth="1"/>
    <col min="3" max="3" width="3.140625" style="70" customWidth="1"/>
    <col min="4" max="4" width="28.7109375" style="70" bestFit="1" customWidth="1"/>
    <col min="5" max="5" width="11.42578125" customWidth="1"/>
    <col min="6" max="6" width="10.42578125" bestFit="1" customWidth="1"/>
    <col min="7" max="7" width="4.85546875" bestFit="1" customWidth="1"/>
    <col min="8" max="8" width="7" bestFit="1" customWidth="1"/>
    <col min="9" max="9" width="7.42578125" bestFit="1" customWidth="1"/>
    <col min="10" max="10" width="9.42578125" bestFit="1" customWidth="1"/>
    <col min="11" max="11" width="8" bestFit="1" customWidth="1"/>
    <col min="12" max="12" width="10" bestFit="1" customWidth="1"/>
    <col min="13" max="13" width="9.5703125" bestFit="1" customWidth="1"/>
    <col min="14" max="14" width="6.5703125" bestFit="1" customWidth="1"/>
    <col min="15" max="15" width="9.28515625" bestFit="1" customWidth="1"/>
    <col min="16" max="16" width="7.7109375" customWidth="1"/>
    <col min="17" max="17" width="8.42578125" customWidth="1"/>
    <col min="18" max="18" width="9.7109375" customWidth="1"/>
    <col min="19" max="19" width="8.42578125" customWidth="1"/>
    <col min="20" max="20" width="1.7109375" customWidth="1"/>
  </cols>
  <sheetData>
    <row r="1" spans="1:40">
      <c r="A1" s="55"/>
      <c r="B1" s="452" t="s">
        <v>267</v>
      </c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5"/>
    </row>
    <row r="2" spans="1:40">
      <c r="A2" s="58"/>
      <c r="B2" s="479" t="s">
        <v>740</v>
      </c>
      <c r="C2" s="480"/>
      <c r="D2" s="62"/>
      <c r="E2" s="65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5"/>
    </row>
    <row r="3" spans="1:40">
      <c r="A3" s="55"/>
      <c r="B3" s="73">
        <v>3</v>
      </c>
      <c r="C3" s="61" t="s">
        <v>30</v>
      </c>
      <c r="D3" s="72" t="s">
        <v>1077</v>
      </c>
      <c r="E3" s="478" t="s">
        <v>1078</v>
      </c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56"/>
      <c r="AL3" s="19"/>
      <c r="AM3" s="19"/>
      <c r="AN3" s="19"/>
    </row>
    <row r="4" spans="1:40">
      <c r="A4" s="55"/>
      <c r="B4" s="66"/>
      <c r="C4" s="61" t="s">
        <v>30</v>
      </c>
      <c r="D4" s="72" t="s">
        <v>1079</v>
      </c>
      <c r="E4" s="478" t="s">
        <v>1080</v>
      </c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55"/>
      <c r="AL4" s="19"/>
      <c r="AM4" s="19"/>
      <c r="AN4" s="19"/>
    </row>
    <row r="5" spans="1:40">
      <c r="A5" s="55"/>
      <c r="B5" s="66"/>
      <c r="C5" s="61" t="s">
        <v>30</v>
      </c>
      <c r="D5" s="72" t="s">
        <v>1081</v>
      </c>
      <c r="E5" s="484" t="s">
        <v>1082</v>
      </c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55"/>
      <c r="AL5" s="19"/>
      <c r="AM5" s="19"/>
      <c r="AN5" s="19"/>
    </row>
    <row r="6" spans="1:40">
      <c r="A6" s="55"/>
      <c r="B6" s="74">
        <v>2.5</v>
      </c>
      <c r="C6" s="60" t="s">
        <v>30</v>
      </c>
      <c r="D6" s="115" t="s">
        <v>1083</v>
      </c>
      <c r="E6" s="488" t="s">
        <v>1084</v>
      </c>
      <c r="F6" s="488"/>
      <c r="G6" s="488"/>
      <c r="H6" s="488"/>
      <c r="I6" s="488"/>
      <c r="J6" s="488"/>
      <c r="K6" s="488"/>
      <c r="L6" s="488"/>
      <c r="M6" s="488"/>
      <c r="N6" s="488"/>
      <c r="O6" s="488"/>
      <c r="P6" s="488"/>
      <c r="Q6" s="488"/>
      <c r="R6" s="488"/>
      <c r="S6" s="488"/>
      <c r="T6" s="55"/>
      <c r="AL6" s="19"/>
      <c r="AM6" s="19"/>
      <c r="AN6" s="19"/>
    </row>
    <row r="7" spans="1:40">
      <c r="A7" s="55"/>
      <c r="B7" s="66"/>
      <c r="C7" s="61" t="s">
        <v>30</v>
      </c>
      <c r="D7" s="116" t="s">
        <v>343</v>
      </c>
      <c r="E7" s="476" t="s">
        <v>1085</v>
      </c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55"/>
      <c r="AL7" s="19"/>
      <c r="AM7" s="19"/>
      <c r="AN7" s="19"/>
    </row>
    <row r="8" spans="1:40">
      <c r="A8" s="55"/>
      <c r="B8" s="66"/>
      <c r="C8" s="61" t="s">
        <v>30</v>
      </c>
      <c r="D8" s="116" t="s">
        <v>1081</v>
      </c>
      <c r="E8" s="476" t="s">
        <v>1086</v>
      </c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55"/>
      <c r="AL8" s="19"/>
      <c r="AM8" s="19"/>
      <c r="AN8" s="19"/>
    </row>
    <row r="9" spans="1:40">
      <c r="A9" s="55"/>
      <c r="B9" s="66"/>
      <c r="C9" s="61" t="s">
        <v>30</v>
      </c>
      <c r="D9" s="116" t="s">
        <v>1087</v>
      </c>
      <c r="E9" s="476" t="s">
        <v>1088</v>
      </c>
      <c r="F9" s="476"/>
      <c r="G9" s="476"/>
      <c r="H9" s="476"/>
      <c r="I9" s="476"/>
      <c r="J9" s="476"/>
      <c r="K9" s="476"/>
      <c r="L9" s="476"/>
      <c r="M9" s="476"/>
      <c r="N9" s="476"/>
      <c r="O9" s="476"/>
      <c r="P9" s="476"/>
      <c r="Q9" s="476"/>
      <c r="R9" s="476"/>
      <c r="S9" s="476"/>
      <c r="T9" s="55"/>
      <c r="AL9" s="19"/>
      <c r="AM9" s="19"/>
      <c r="AN9" s="19"/>
    </row>
    <row r="10" spans="1:40">
      <c r="A10" s="55"/>
      <c r="B10" s="66"/>
      <c r="C10" s="61"/>
      <c r="D10" s="116"/>
      <c r="E10" s="476" t="s">
        <v>1089</v>
      </c>
      <c r="F10" s="476"/>
      <c r="G10" s="476"/>
      <c r="H10" s="476"/>
      <c r="I10" s="476"/>
      <c r="J10" s="476"/>
      <c r="K10" s="476"/>
      <c r="L10" s="476"/>
      <c r="M10" s="476"/>
      <c r="N10" s="476"/>
      <c r="O10" s="476"/>
      <c r="P10" s="476"/>
      <c r="Q10" s="476"/>
      <c r="R10" s="476"/>
      <c r="S10" s="476"/>
      <c r="T10" s="55"/>
      <c r="AL10" s="19"/>
      <c r="AM10" s="19"/>
      <c r="AN10" s="19"/>
    </row>
    <row r="11" spans="1:40">
      <c r="A11" s="55"/>
      <c r="B11" s="66"/>
      <c r="C11" s="61"/>
      <c r="D11" s="116"/>
      <c r="E11" s="54" t="s">
        <v>282</v>
      </c>
      <c r="F11" s="492" t="str">
        <f ca="1">VLOOKUP("Page Number",Zone_Traduction,ref_langue,FALSE)</f>
        <v>Page Number</v>
      </c>
      <c r="G11" s="493"/>
      <c r="H11" s="497" t="str">
        <f ca="1">VLOOKUP("Book Name",Zone_Traduction,ref_langue,FALSE)</f>
        <v>Book Name</v>
      </c>
      <c r="I11" s="498"/>
      <c r="J11" s="499"/>
      <c r="K11" s="497" t="str">
        <f ca="1">VLOOKUP("List Name",Zone_Traduction,ref_langue,FALSE)</f>
        <v>List Name</v>
      </c>
      <c r="L11" s="499"/>
      <c r="M11" s="76"/>
      <c r="N11" s="69"/>
      <c r="O11" s="69"/>
      <c r="P11" s="69"/>
      <c r="Q11" s="69"/>
      <c r="R11" s="69"/>
      <c r="S11" s="69"/>
      <c r="T11" s="55"/>
      <c r="AL11" s="19"/>
      <c r="AM11" s="19"/>
      <c r="AN11" s="19"/>
    </row>
    <row r="12" spans="1:40">
      <c r="A12" s="55"/>
      <c r="B12" s="66"/>
      <c r="C12" s="61"/>
      <c r="D12" s="116"/>
      <c r="E12" s="54"/>
      <c r="F12" s="494">
        <v>23</v>
      </c>
      <c r="G12" s="495"/>
      <c r="H12" s="500" t="s">
        <v>344</v>
      </c>
      <c r="I12" s="501"/>
      <c r="J12" s="502"/>
      <c r="K12" s="504" t="s">
        <v>355</v>
      </c>
      <c r="L12" s="505"/>
      <c r="M12" s="77"/>
      <c r="N12" s="69"/>
      <c r="O12" s="69"/>
      <c r="P12" s="69"/>
      <c r="Q12" s="69"/>
      <c r="R12" s="69"/>
      <c r="S12" s="69"/>
      <c r="T12" s="55"/>
      <c r="AL12" s="19"/>
      <c r="AM12" s="19"/>
      <c r="AN12" s="19"/>
    </row>
    <row r="13" spans="1:40">
      <c r="A13" s="55"/>
      <c r="B13" s="66"/>
      <c r="C13" s="61" t="s">
        <v>30</v>
      </c>
      <c r="D13" s="116" t="s">
        <v>1090</v>
      </c>
      <c r="E13" s="476" t="s">
        <v>1091</v>
      </c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476"/>
      <c r="Q13" s="476"/>
      <c r="R13" s="476"/>
      <c r="S13" s="476"/>
      <c r="T13" s="55"/>
      <c r="AL13" s="19"/>
      <c r="AM13" s="19"/>
      <c r="AN13" s="19"/>
    </row>
    <row r="14" spans="1:40">
      <c r="A14" s="55"/>
      <c r="B14" s="67"/>
      <c r="C14" s="63" t="s">
        <v>30</v>
      </c>
      <c r="D14" s="117" t="s">
        <v>150</v>
      </c>
      <c r="E14" s="476" t="s">
        <v>1092</v>
      </c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6"/>
      <c r="T14" s="55"/>
      <c r="AL14" s="19"/>
      <c r="AM14" s="19"/>
      <c r="AN14" s="19"/>
    </row>
    <row r="15" spans="1:40">
      <c r="A15" s="55"/>
      <c r="B15" s="68">
        <v>2.4</v>
      </c>
      <c r="C15" s="118" t="s">
        <v>30</v>
      </c>
      <c r="D15" s="119" t="s">
        <v>1093</v>
      </c>
      <c r="E15" s="472" t="s">
        <v>1094</v>
      </c>
      <c r="F15" s="473"/>
      <c r="G15" s="473"/>
      <c r="H15" s="473"/>
      <c r="I15" s="473"/>
      <c r="J15" s="473"/>
      <c r="K15" s="473"/>
      <c r="L15" s="473"/>
      <c r="M15" s="473"/>
      <c r="N15" s="473"/>
      <c r="O15" s="473"/>
      <c r="P15" s="473"/>
      <c r="Q15" s="473"/>
      <c r="R15" s="473"/>
      <c r="S15" s="520"/>
      <c r="T15" s="55"/>
      <c r="AL15" s="19"/>
      <c r="AM15" s="19"/>
      <c r="AN15" s="19"/>
    </row>
    <row r="16" spans="1:40">
      <c r="A16" s="55"/>
      <c r="B16" s="66" t="s">
        <v>735</v>
      </c>
      <c r="C16" s="72" t="s">
        <v>30</v>
      </c>
      <c r="D16" s="120" t="s">
        <v>1095</v>
      </c>
      <c r="E16" s="478" t="s">
        <v>1096</v>
      </c>
      <c r="F16" s="476"/>
      <c r="G16" s="476"/>
      <c r="H16" s="476"/>
      <c r="I16" s="476"/>
      <c r="J16" s="476"/>
      <c r="K16" s="476"/>
      <c r="L16" s="476"/>
      <c r="M16" s="476"/>
      <c r="N16" s="476"/>
      <c r="O16" s="476"/>
      <c r="P16" s="476"/>
      <c r="Q16" s="476"/>
      <c r="R16" s="476"/>
      <c r="S16" s="521"/>
      <c r="T16" s="55"/>
      <c r="AL16" s="19"/>
      <c r="AM16" s="19"/>
      <c r="AN16" s="19"/>
    </row>
    <row r="17" spans="1:40">
      <c r="A17" s="55"/>
      <c r="B17" s="66"/>
      <c r="C17" s="72" t="s">
        <v>30</v>
      </c>
      <c r="D17" s="120" t="s">
        <v>1095</v>
      </c>
      <c r="E17" s="478" t="s">
        <v>1097</v>
      </c>
      <c r="F17" s="476"/>
      <c r="G17" s="476"/>
      <c r="H17" s="476"/>
      <c r="I17" s="476"/>
      <c r="J17" s="476"/>
      <c r="K17" s="476"/>
      <c r="L17" s="476"/>
      <c r="M17" s="476"/>
      <c r="N17" s="476"/>
      <c r="O17" s="476"/>
      <c r="P17" s="476"/>
      <c r="Q17" s="476"/>
      <c r="R17" s="476"/>
      <c r="S17" s="521"/>
      <c r="T17" s="55"/>
      <c r="AL17" s="19"/>
      <c r="AM17" s="19"/>
      <c r="AN17" s="19"/>
    </row>
    <row r="18" spans="1:40">
      <c r="A18" s="55"/>
      <c r="B18" s="67"/>
      <c r="C18" s="62" t="s">
        <v>30</v>
      </c>
      <c r="D18" s="95" t="s">
        <v>1095</v>
      </c>
      <c r="E18" s="484" t="s">
        <v>1098</v>
      </c>
      <c r="F18" s="489"/>
      <c r="G18" s="489"/>
      <c r="H18" s="489"/>
      <c r="I18" s="489"/>
      <c r="J18" s="489"/>
      <c r="K18" s="489"/>
      <c r="L18" s="489"/>
      <c r="M18" s="489"/>
      <c r="N18" s="489"/>
      <c r="O18" s="489"/>
      <c r="P18" s="489"/>
      <c r="Q18" s="489"/>
      <c r="R18" s="489"/>
      <c r="S18" s="522"/>
      <c r="T18" s="55"/>
      <c r="AL18" s="19"/>
      <c r="AM18" s="19"/>
      <c r="AN18" s="19"/>
    </row>
    <row r="19" spans="1:40">
      <c r="A19" s="55"/>
      <c r="B19" s="66" t="s">
        <v>736</v>
      </c>
      <c r="C19" s="61" t="s">
        <v>30</v>
      </c>
      <c r="D19" s="72" t="s">
        <v>1095</v>
      </c>
      <c r="E19" s="478" t="s">
        <v>1099</v>
      </c>
      <c r="F19" s="476"/>
      <c r="G19" s="476"/>
      <c r="H19" s="476"/>
      <c r="I19" s="476"/>
      <c r="J19" s="476"/>
      <c r="K19" s="476"/>
      <c r="L19" s="476"/>
      <c r="M19" s="476"/>
      <c r="N19" s="476"/>
      <c r="O19" s="476"/>
      <c r="P19" s="476"/>
      <c r="Q19" s="476"/>
      <c r="R19" s="476"/>
      <c r="S19" s="476"/>
      <c r="T19" s="55"/>
      <c r="AL19" s="19"/>
      <c r="AM19" s="19"/>
      <c r="AN19" s="19"/>
    </row>
    <row r="20" spans="1:40">
      <c r="A20" s="55"/>
      <c r="B20" s="67"/>
      <c r="C20" s="63" t="s">
        <v>30</v>
      </c>
      <c r="D20" s="72" t="s">
        <v>1100</v>
      </c>
      <c r="E20" s="484" t="s">
        <v>1101</v>
      </c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489"/>
      <c r="R20" s="489"/>
      <c r="S20" s="489"/>
      <c r="T20" s="55"/>
      <c r="AL20" s="19"/>
      <c r="AM20" s="19"/>
      <c r="AN20" s="19"/>
    </row>
    <row r="21" spans="1:40">
      <c r="A21" s="55"/>
      <c r="B21" s="66" t="s">
        <v>737</v>
      </c>
      <c r="C21" s="61" t="s">
        <v>30</v>
      </c>
      <c r="D21" s="115" t="s">
        <v>1102</v>
      </c>
      <c r="E21" s="478" t="s">
        <v>1103</v>
      </c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476"/>
      <c r="Q21" s="476"/>
      <c r="R21" s="476"/>
      <c r="S21" s="476"/>
      <c r="T21" s="55"/>
      <c r="AL21" s="19"/>
      <c r="AM21" s="19"/>
      <c r="AN21" s="19"/>
    </row>
    <row r="22" spans="1:40">
      <c r="A22" s="55"/>
      <c r="B22" s="66"/>
      <c r="C22" s="61"/>
      <c r="D22" s="116" t="s">
        <v>1100</v>
      </c>
      <c r="E22" s="478" t="s">
        <v>1104</v>
      </c>
      <c r="F22" s="476"/>
      <c r="G22" s="476"/>
      <c r="H22" s="476"/>
      <c r="I22" s="476"/>
      <c r="J22" s="476"/>
      <c r="K22" s="476"/>
      <c r="L22" s="476"/>
      <c r="M22" s="476"/>
      <c r="N22" s="476"/>
      <c r="O22" s="476"/>
      <c r="P22" s="476"/>
      <c r="Q22" s="476"/>
      <c r="R22" s="476"/>
      <c r="S22" s="476"/>
      <c r="T22" s="55"/>
      <c r="AL22" s="19"/>
      <c r="AM22" s="19"/>
      <c r="AN22" s="19"/>
    </row>
    <row r="23" spans="1:40">
      <c r="A23" s="55"/>
      <c r="B23" s="66"/>
      <c r="C23" s="61" t="s">
        <v>30</v>
      </c>
      <c r="D23" s="116" t="s">
        <v>1105</v>
      </c>
      <c r="E23" s="478" t="s">
        <v>1106</v>
      </c>
      <c r="F23" s="476"/>
      <c r="G23" s="476"/>
      <c r="H23" s="476"/>
      <c r="I23" s="476"/>
      <c r="J23" s="476"/>
      <c r="K23" s="476"/>
      <c r="L23" s="476"/>
      <c r="M23" s="476"/>
      <c r="N23" s="476"/>
      <c r="O23" s="476"/>
      <c r="P23" s="476"/>
      <c r="Q23" s="476"/>
      <c r="R23" s="476"/>
      <c r="S23" s="476"/>
      <c r="T23" s="55"/>
      <c r="AL23" s="19"/>
      <c r="AM23" s="19"/>
      <c r="AN23" s="19"/>
    </row>
    <row r="24" spans="1:40">
      <c r="A24" s="55"/>
      <c r="B24" s="67"/>
      <c r="C24" s="63" t="s">
        <v>30</v>
      </c>
      <c r="D24" s="117" t="s">
        <v>1107</v>
      </c>
      <c r="E24" s="484" t="s">
        <v>1108</v>
      </c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55"/>
      <c r="AL24" s="19"/>
      <c r="AM24" s="19"/>
      <c r="AN24" s="19"/>
    </row>
    <row r="25" spans="1:40">
      <c r="A25" s="55"/>
      <c r="B25" s="66" t="s">
        <v>738</v>
      </c>
      <c r="C25" s="61" t="s">
        <v>30</v>
      </c>
      <c r="D25" s="72" t="s">
        <v>1095</v>
      </c>
      <c r="E25" s="481" t="s">
        <v>1109</v>
      </c>
      <c r="F25" s="488"/>
      <c r="G25" s="488"/>
      <c r="H25" s="488"/>
      <c r="I25" s="488"/>
      <c r="J25" s="488"/>
      <c r="K25" s="488"/>
      <c r="L25" s="488"/>
      <c r="M25" s="488"/>
      <c r="N25" s="488"/>
      <c r="O25" s="488"/>
      <c r="P25" s="488"/>
      <c r="Q25" s="488"/>
      <c r="R25" s="488"/>
      <c r="S25" s="488"/>
      <c r="T25" s="55"/>
      <c r="AL25" s="19"/>
      <c r="AM25" s="19"/>
      <c r="AN25" s="19"/>
    </row>
    <row r="26" spans="1:40">
      <c r="A26" s="55"/>
      <c r="B26" s="66"/>
      <c r="C26" s="61" t="s">
        <v>30</v>
      </c>
      <c r="D26" s="72" t="s">
        <v>1110</v>
      </c>
      <c r="E26" s="478" t="s">
        <v>1111</v>
      </c>
      <c r="F26" s="476"/>
      <c r="G26" s="476"/>
      <c r="H26" s="476"/>
      <c r="I26" s="476"/>
      <c r="J26" s="476"/>
      <c r="K26" s="476"/>
      <c r="L26" s="476"/>
      <c r="M26" s="476"/>
      <c r="N26" s="476"/>
      <c r="O26" s="476"/>
      <c r="P26" s="476"/>
      <c r="Q26" s="476"/>
      <c r="R26" s="476"/>
      <c r="S26" s="476"/>
      <c r="T26" s="55"/>
      <c r="AL26" s="19"/>
      <c r="AM26" s="19"/>
      <c r="AN26" s="19"/>
    </row>
    <row r="27" spans="1:40">
      <c r="A27" s="55"/>
      <c r="B27" s="66"/>
      <c r="C27" s="61" t="s">
        <v>30</v>
      </c>
      <c r="D27" s="72" t="s">
        <v>125</v>
      </c>
      <c r="E27" s="478" t="s">
        <v>1112</v>
      </c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55"/>
      <c r="AL27" s="19"/>
      <c r="AM27" s="19"/>
      <c r="AN27" s="19"/>
    </row>
    <row r="28" spans="1:40">
      <c r="A28" s="55"/>
      <c r="B28" s="66"/>
      <c r="C28" s="61" t="s">
        <v>30</v>
      </c>
      <c r="D28" s="72" t="s">
        <v>1105</v>
      </c>
      <c r="E28" s="478" t="s">
        <v>1113</v>
      </c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476"/>
      <c r="Q28" s="476"/>
      <c r="R28" s="476"/>
      <c r="S28" s="476"/>
      <c r="T28" s="55"/>
      <c r="AL28" s="19"/>
      <c r="AM28" s="19"/>
      <c r="AN28" s="19"/>
    </row>
    <row r="29" spans="1:40">
      <c r="A29" s="55"/>
      <c r="B29" s="66"/>
      <c r="C29" s="61" t="s">
        <v>30</v>
      </c>
      <c r="D29" s="72" t="s">
        <v>1114</v>
      </c>
      <c r="E29" s="478" t="s">
        <v>1115</v>
      </c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476"/>
      <c r="Q29" s="476"/>
      <c r="R29" s="476"/>
      <c r="S29" s="476"/>
      <c r="T29" s="55"/>
      <c r="AL29" s="19"/>
      <c r="AM29" s="19"/>
      <c r="AN29" s="19"/>
    </row>
    <row r="30" spans="1:40">
      <c r="A30" s="55"/>
      <c r="B30" s="66"/>
      <c r="C30" s="61" t="s">
        <v>30</v>
      </c>
      <c r="D30" s="72" t="s">
        <v>1116</v>
      </c>
      <c r="E30" s="478" t="s">
        <v>1117</v>
      </c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55"/>
      <c r="AL30" s="19"/>
      <c r="AM30" s="19"/>
      <c r="AN30" s="19"/>
    </row>
    <row r="31" spans="1:40">
      <c r="A31" s="55"/>
      <c r="B31" s="66"/>
      <c r="C31" s="61" t="s">
        <v>30</v>
      </c>
      <c r="D31" s="72" t="s">
        <v>1118</v>
      </c>
      <c r="E31" s="478" t="s">
        <v>1119</v>
      </c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476"/>
      <c r="Q31" s="476"/>
      <c r="R31" s="476"/>
      <c r="S31" s="476"/>
      <c r="T31" s="55"/>
      <c r="AL31" s="19"/>
      <c r="AM31" s="19"/>
      <c r="AN31" s="19"/>
    </row>
    <row r="32" spans="1:40">
      <c r="A32" s="55"/>
      <c r="B32" s="67"/>
      <c r="C32" s="63" t="s">
        <v>30</v>
      </c>
      <c r="D32" s="62" t="s">
        <v>1120</v>
      </c>
      <c r="E32" s="484" t="s">
        <v>1121</v>
      </c>
      <c r="F32" s="489"/>
      <c r="G32" s="489"/>
      <c r="H32" s="489"/>
      <c r="I32" s="489"/>
      <c r="J32" s="489"/>
      <c r="K32" s="489"/>
      <c r="L32" s="489"/>
      <c r="M32" s="489"/>
      <c r="N32" s="489"/>
      <c r="O32" s="489"/>
      <c r="P32" s="489"/>
      <c r="Q32" s="489"/>
      <c r="R32" s="489"/>
      <c r="S32" s="489"/>
      <c r="T32" s="55"/>
      <c r="AL32" s="19"/>
      <c r="AM32" s="19"/>
      <c r="AN32" s="19"/>
    </row>
    <row r="33" spans="1:40">
      <c r="A33" s="55"/>
      <c r="B33" s="66">
        <v>1.7</v>
      </c>
      <c r="C33" s="61" t="s">
        <v>30</v>
      </c>
      <c r="D33" s="115" t="s">
        <v>1122</v>
      </c>
      <c r="E33" s="488" t="s">
        <v>1123</v>
      </c>
      <c r="F33" s="488"/>
      <c r="G33" s="488"/>
      <c r="H33" s="488"/>
      <c r="I33" s="488"/>
      <c r="J33" s="488"/>
      <c r="K33" s="488"/>
      <c r="L33" s="488"/>
      <c r="M33" s="488"/>
      <c r="N33" s="488"/>
      <c r="O33" s="488"/>
      <c r="P33" s="488"/>
      <c r="Q33" s="488"/>
      <c r="R33" s="488"/>
      <c r="S33" s="488"/>
      <c r="T33" s="55"/>
      <c r="AL33" s="19"/>
      <c r="AM33" s="19"/>
      <c r="AN33" s="19"/>
    </row>
    <row r="34" spans="1:40">
      <c r="A34" s="55"/>
      <c r="B34" s="66"/>
      <c r="C34" s="61" t="s">
        <v>30</v>
      </c>
      <c r="D34" s="116" t="s">
        <v>1124</v>
      </c>
      <c r="E34" s="476" t="s">
        <v>1125</v>
      </c>
      <c r="F34" s="476"/>
      <c r="G34" s="476"/>
      <c r="H34" s="476"/>
      <c r="I34" s="476"/>
      <c r="J34" s="476"/>
      <c r="K34" s="476"/>
      <c r="L34" s="476"/>
      <c r="M34" s="476"/>
      <c r="N34" s="476"/>
      <c r="O34" s="476"/>
      <c r="P34" s="476"/>
      <c r="Q34" s="476"/>
      <c r="R34" s="476"/>
      <c r="S34" s="476"/>
      <c r="T34" s="55"/>
      <c r="AL34" s="19"/>
      <c r="AM34" s="19"/>
      <c r="AN34" s="19"/>
    </row>
    <row r="35" spans="1:40">
      <c r="A35" s="55"/>
      <c r="B35" s="66"/>
      <c r="C35" s="61" t="s">
        <v>30</v>
      </c>
      <c r="D35" s="116" t="s">
        <v>128</v>
      </c>
      <c r="E35" s="476" t="s">
        <v>1126</v>
      </c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55"/>
      <c r="AL35" s="19"/>
      <c r="AM35" s="19"/>
      <c r="AN35" s="19"/>
    </row>
    <row r="36" spans="1:40">
      <c r="A36" s="55"/>
      <c r="B36" s="67"/>
      <c r="C36" s="63" t="s">
        <v>30</v>
      </c>
      <c r="D36" s="116" t="s">
        <v>1095</v>
      </c>
      <c r="E36" s="474" t="s">
        <v>1127</v>
      </c>
      <c r="F36" s="475"/>
      <c r="G36" s="475"/>
      <c r="H36" s="475"/>
      <c r="I36" s="475"/>
      <c r="J36" s="475"/>
      <c r="K36" s="475"/>
      <c r="L36" s="475"/>
      <c r="M36" s="475"/>
      <c r="N36" s="475"/>
      <c r="O36" s="475"/>
      <c r="P36" s="475"/>
      <c r="Q36" s="475"/>
      <c r="R36" s="475"/>
      <c r="S36" s="475"/>
      <c r="T36" s="55"/>
      <c r="AL36" s="19"/>
      <c r="AM36" s="19"/>
      <c r="AN36" s="19"/>
    </row>
    <row r="37" spans="1:40">
      <c r="A37" s="55"/>
      <c r="B37" s="66">
        <v>1.6</v>
      </c>
      <c r="C37" s="61" t="s">
        <v>30</v>
      </c>
      <c r="D37" s="115" t="s">
        <v>150</v>
      </c>
      <c r="E37" s="488" t="s">
        <v>1128</v>
      </c>
      <c r="F37" s="487"/>
      <c r="G37" s="487"/>
      <c r="H37" s="487"/>
      <c r="I37" s="487"/>
      <c r="J37" s="487"/>
      <c r="K37" s="487"/>
      <c r="L37" s="487"/>
      <c r="M37" s="487"/>
      <c r="N37" s="487"/>
      <c r="O37" s="487"/>
      <c r="P37" s="487"/>
      <c r="Q37" s="487"/>
      <c r="R37" s="487"/>
      <c r="S37" s="487"/>
      <c r="T37" s="55"/>
      <c r="AL37" s="19"/>
      <c r="AM37" s="19"/>
      <c r="AN37" s="19"/>
    </row>
    <row r="38" spans="1:40">
      <c r="A38" s="55"/>
      <c r="B38" s="66"/>
      <c r="C38" s="61" t="s">
        <v>30</v>
      </c>
      <c r="D38" s="116" t="s">
        <v>1124</v>
      </c>
      <c r="E38" s="474" t="s">
        <v>1129</v>
      </c>
      <c r="F38" s="475"/>
      <c r="G38" s="475"/>
      <c r="H38" s="475"/>
      <c r="I38" s="475"/>
      <c r="J38" s="475"/>
      <c r="K38" s="475"/>
      <c r="L38" s="475"/>
      <c r="M38" s="475"/>
      <c r="N38" s="475"/>
      <c r="O38" s="475"/>
      <c r="P38" s="475"/>
      <c r="Q38" s="475"/>
      <c r="R38" s="475"/>
      <c r="S38" s="475"/>
      <c r="T38" s="55"/>
      <c r="AL38" s="19"/>
      <c r="AM38" s="19"/>
      <c r="AN38" s="19"/>
    </row>
    <row r="39" spans="1:40">
      <c r="A39" s="55"/>
      <c r="B39" s="67"/>
      <c r="C39" s="63" t="s">
        <v>30</v>
      </c>
      <c r="D39" s="116" t="s">
        <v>1110</v>
      </c>
      <c r="E39" s="474" t="s">
        <v>190</v>
      </c>
      <c r="F39" s="475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75"/>
      <c r="R39" s="475"/>
      <c r="S39" s="475"/>
      <c r="T39" s="55"/>
      <c r="AL39" s="19"/>
      <c r="AM39" s="19"/>
      <c r="AN39" s="19"/>
    </row>
    <row r="40" spans="1:40">
      <c r="A40" s="55"/>
      <c r="B40" s="66">
        <v>1.5</v>
      </c>
      <c r="C40" s="61" t="s">
        <v>30</v>
      </c>
      <c r="D40" s="115" t="s">
        <v>1110</v>
      </c>
      <c r="E40" s="488" t="s">
        <v>181</v>
      </c>
      <c r="F40" s="487"/>
      <c r="G40" s="487"/>
      <c r="H40" s="487"/>
      <c r="I40" s="487"/>
      <c r="J40" s="487"/>
      <c r="K40" s="487"/>
      <c r="L40" s="487"/>
      <c r="M40" s="487"/>
      <c r="N40" s="487"/>
      <c r="O40" s="487"/>
      <c r="P40" s="487"/>
      <c r="Q40" s="487"/>
      <c r="R40" s="487"/>
      <c r="S40" s="487"/>
      <c r="T40" s="55"/>
      <c r="AL40" s="19"/>
      <c r="AM40" s="19"/>
      <c r="AN40" s="19"/>
    </row>
    <row r="41" spans="1:40">
      <c r="A41" s="55"/>
      <c r="B41" s="66"/>
      <c r="C41" s="61" t="s">
        <v>30</v>
      </c>
      <c r="D41" s="116" t="s">
        <v>1130</v>
      </c>
      <c r="E41" s="474" t="s">
        <v>182</v>
      </c>
      <c r="F41" s="475"/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  <c r="S41" s="475"/>
      <c r="T41" s="55"/>
      <c r="AL41" s="19"/>
      <c r="AM41" s="19"/>
      <c r="AN41" s="19"/>
    </row>
    <row r="42" spans="1:40">
      <c r="A42" s="55"/>
      <c r="B42" s="66"/>
      <c r="C42" s="61" t="s">
        <v>30</v>
      </c>
      <c r="D42" s="116" t="s">
        <v>126</v>
      </c>
      <c r="E42" s="474" t="s">
        <v>183</v>
      </c>
      <c r="F42" s="475"/>
      <c r="G42" s="475"/>
      <c r="H42" s="475"/>
      <c r="I42" s="475"/>
      <c r="J42" s="475"/>
      <c r="K42" s="475"/>
      <c r="L42" s="475"/>
      <c r="M42" s="475"/>
      <c r="N42" s="475"/>
      <c r="O42" s="475"/>
      <c r="P42" s="475"/>
      <c r="Q42" s="475"/>
      <c r="R42" s="475"/>
      <c r="S42" s="475"/>
      <c r="T42" s="55"/>
      <c r="AL42" s="19"/>
      <c r="AM42" s="19"/>
      <c r="AN42" s="19"/>
    </row>
    <row r="43" spans="1:40">
      <c r="A43" s="55"/>
      <c r="B43" s="66"/>
      <c r="C43" s="61" t="s">
        <v>30</v>
      </c>
      <c r="D43" s="116" t="s">
        <v>1131</v>
      </c>
      <c r="E43" s="474" t="s">
        <v>184</v>
      </c>
      <c r="F43" s="475"/>
      <c r="G43" s="475"/>
      <c r="H43" s="475"/>
      <c r="I43" s="475"/>
      <c r="J43" s="475"/>
      <c r="K43" s="475"/>
      <c r="L43" s="475"/>
      <c r="M43" s="475"/>
      <c r="N43" s="475"/>
      <c r="O43" s="475"/>
      <c r="P43" s="475"/>
      <c r="Q43" s="475"/>
      <c r="R43" s="475"/>
      <c r="S43" s="475"/>
      <c r="T43" s="55"/>
      <c r="AL43" s="19"/>
      <c r="AM43" s="19"/>
      <c r="AN43" s="19"/>
    </row>
    <row r="44" spans="1:40">
      <c r="A44" s="55"/>
      <c r="B44" s="66"/>
      <c r="C44" s="61" t="s">
        <v>30</v>
      </c>
      <c r="D44" s="116" t="s">
        <v>1132</v>
      </c>
      <c r="E44" s="474" t="s">
        <v>185</v>
      </c>
      <c r="F44" s="475"/>
      <c r="G44" s="475"/>
      <c r="H44" s="475"/>
      <c r="I44" s="475"/>
      <c r="J44" s="475"/>
      <c r="K44" s="475"/>
      <c r="L44" s="475"/>
      <c r="M44" s="475"/>
      <c r="N44" s="475"/>
      <c r="O44" s="475"/>
      <c r="P44" s="475"/>
      <c r="Q44" s="475"/>
      <c r="R44" s="475"/>
      <c r="S44" s="475"/>
      <c r="T44" s="55"/>
      <c r="AL44" s="19"/>
      <c r="AM44" s="19"/>
      <c r="AN44" s="19"/>
    </row>
    <row r="45" spans="1:40">
      <c r="A45" s="55"/>
      <c r="B45" s="66"/>
      <c r="C45" s="61" t="s">
        <v>30</v>
      </c>
      <c r="D45" s="116" t="s">
        <v>1105</v>
      </c>
      <c r="E45" s="474" t="s">
        <v>1133</v>
      </c>
      <c r="F45" s="475"/>
      <c r="G45" s="475"/>
      <c r="H45" s="475"/>
      <c r="I45" s="475"/>
      <c r="J45" s="475"/>
      <c r="K45" s="475"/>
      <c r="L45" s="475"/>
      <c r="M45" s="475"/>
      <c r="N45" s="475"/>
      <c r="O45" s="475"/>
      <c r="P45" s="475"/>
      <c r="Q45" s="475"/>
      <c r="R45" s="475"/>
      <c r="S45" s="475"/>
      <c r="T45" s="55"/>
      <c r="AL45" s="19"/>
      <c r="AM45" s="19"/>
      <c r="AN45" s="19"/>
    </row>
    <row r="46" spans="1:40">
      <c r="A46" s="55"/>
      <c r="B46" s="66"/>
      <c r="C46" s="61" t="s">
        <v>30</v>
      </c>
      <c r="D46" s="116" t="s">
        <v>128</v>
      </c>
      <c r="E46" s="474" t="s">
        <v>189</v>
      </c>
      <c r="F46" s="475"/>
      <c r="G46" s="475"/>
      <c r="H46" s="475"/>
      <c r="I46" s="475"/>
      <c r="J46" s="475"/>
      <c r="K46" s="475"/>
      <c r="L46" s="475"/>
      <c r="M46" s="475"/>
      <c r="N46" s="475"/>
      <c r="O46" s="475"/>
      <c r="P46" s="475"/>
      <c r="Q46" s="475"/>
      <c r="R46" s="475"/>
      <c r="S46" s="475"/>
      <c r="T46" s="55"/>
      <c r="AL46" s="19"/>
      <c r="AM46" s="19"/>
      <c r="AN46" s="19"/>
    </row>
    <row r="47" spans="1:40">
      <c r="A47" s="55"/>
      <c r="B47" s="67"/>
      <c r="C47" s="63"/>
      <c r="D47" s="117" t="s">
        <v>1134</v>
      </c>
      <c r="E47" s="489" t="s">
        <v>186</v>
      </c>
      <c r="F47" s="496"/>
      <c r="G47" s="496"/>
      <c r="H47" s="496"/>
      <c r="I47" s="496"/>
      <c r="J47" s="496"/>
      <c r="K47" s="496"/>
      <c r="L47" s="496"/>
      <c r="M47" s="496"/>
      <c r="N47" s="496"/>
      <c r="O47" s="496"/>
      <c r="P47" s="496"/>
      <c r="Q47" s="496"/>
      <c r="R47" s="496"/>
      <c r="S47" s="496"/>
      <c r="T47" s="55"/>
      <c r="AL47" s="19"/>
      <c r="AM47" s="19"/>
      <c r="AN47" s="19"/>
    </row>
    <row r="48" spans="1:40">
      <c r="A48" s="55"/>
      <c r="B48" s="71"/>
      <c r="C48" s="71"/>
      <c r="D48" s="71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</row>
    <row r="68" spans="2:5">
      <c r="E68" s="1"/>
    </row>
    <row r="69" spans="2:5">
      <c r="E69" s="1"/>
    </row>
    <row r="80" spans="2:5">
      <c r="B80"/>
      <c r="C80"/>
      <c r="D80"/>
    </row>
    <row r="81" spans="2:4">
      <c r="B81"/>
      <c r="C81"/>
      <c r="D81"/>
    </row>
    <row r="82" spans="2:4">
      <c r="B82"/>
      <c r="C82"/>
      <c r="D82"/>
    </row>
    <row r="83" spans="2:4">
      <c r="B83"/>
      <c r="C83"/>
      <c r="D83"/>
    </row>
    <row r="84" spans="2:4">
      <c r="B84"/>
      <c r="C84"/>
      <c r="D84"/>
    </row>
    <row r="85" spans="2:4">
      <c r="B85"/>
      <c r="C85"/>
      <c r="D85"/>
    </row>
    <row r="86" spans="2:4">
      <c r="B86"/>
      <c r="C86"/>
      <c r="D86"/>
    </row>
    <row r="87" spans="2:4">
      <c r="B87"/>
      <c r="C87"/>
      <c r="D87"/>
    </row>
    <row r="88" spans="2:4">
      <c r="B88"/>
      <c r="C88"/>
      <c r="D88"/>
    </row>
  </sheetData>
  <mergeCells count="51">
    <mergeCell ref="E47:S47"/>
    <mergeCell ref="E36:S36"/>
    <mergeCell ref="E37:S37"/>
    <mergeCell ref="E38:S38"/>
    <mergeCell ref="E39:S39"/>
    <mergeCell ref="E40:S40"/>
    <mergeCell ref="E41:S41"/>
    <mergeCell ref="E42:S42"/>
    <mergeCell ref="E32:S32"/>
    <mergeCell ref="E33:S33"/>
    <mergeCell ref="E34:S34"/>
    <mergeCell ref="E45:S45"/>
    <mergeCell ref="E46:S46"/>
    <mergeCell ref="E23:S23"/>
    <mergeCell ref="E24:S24"/>
    <mergeCell ref="E29:S29"/>
    <mergeCell ref="E30:S30"/>
    <mergeCell ref="E31:S31"/>
    <mergeCell ref="E18:S18"/>
    <mergeCell ref="E19:S19"/>
    <mergeCell ref="E20:S20"/>
    <mergeCell ref="E21:S21"/>
    <mergeCell ref="E22:S22"/>
    <mergeCell ref="E13:S13"/>
    <mergeCell ref="E14:S14"/>
    <mergeCell ref="E15:S15"/>
    <mergeCell ref="E16:S16"/>
    <mergeCell ref="E17:S17"/>
    <mergeCell ref="E10:S10"/>
    <mergeCell ref="F11:G11"/>
    <mergeCell ref="H11:J11"/>
    <mergeCell ref="K11:L11"/>
    <mergeCell ref="F12:G12"/>
    <mergeCell ref="H12:J12"/>
    <mergeCell ref="K12:L12"/>
    <mergeCell ref="B2:C2"/>
    <mergeCell ref="B1:S1"/>
    <mergeCell ref="E43:S43"/>
    <mergeCell ref="E44:S44"/>
    <mergeCell ref="E35:S35"/>
    <mergeCell ref="E25:S25"/>
    <mergeCell ref="E26:S26"/>
    <mergeCell ref="E27:S27"/>
    <mergeCell ref="E28:S28"/>
    <mergeCell ref="E3:S3"/>
    <mergeCell ref="E4:S4"/>
    <mergeCell ref="E5:S5"/>
    <mergeCell ref="E6:S6"/>
    <mergeCell ref="E7:S7"/>
    <mergeCell ref="E8:S8"/>
    <mergeCell ref="E9:S9"/>
  </mergeCells>
  <phoneticPr fontId="0" type="noConversion"/>
  <dataValidations count="1">
    <dataValidation type="list" allowBlank="1" showInputMessage="1" showErrorMessage="1" sqref="H12:J12">
      <formula1>livret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8"/>
  </sheetPr>
  <dimension ref="A1:S70"/>
  <sheetViews>
    <sheetView workbookViewId="0">
      <pane ySplit="2" topLeftCell="A3" activePane="bottomLeft" state="frozen"/>
      <selection activeCell="C25" sqref="C25"/>
      <selection pane="bottomLeft" activeCell="C25" sqref="C25"/>
    </sheetView>
  </sheetViews>
  <sheetFormatPr defaultColWidth="11.42578125" defaultRowHeight="12.75"/>
  <cols>
    <col min="1" max="1" width="1.85546875" customWidth="1"/>
    <col min="2" max="2" width="5.140625" style="70" bestFit="1" customWidth="1"/>
    <col min="3" max="3" width="1.5703125" style="70" bestFit="1" customWidth="1"/>
    <col min="4" max="4" width="11.42578125" customWidth="1"/>
    <col min="5" max="5" width="10.42578125" customWidth="1"/>
    <col min="6" max="6" width="5" bestFit="1" customWidth="1"/>
    <col min="7" max="7" width="7" customWidth="1"/>
    <col min="8" max="8" width="7.42578125" customWidth="1"/>
    <col min="9" max="9" width="9.42578125" customWidth="1"/>
    <col min="10" max="10" width="8" customWidth="1"/>
    <col min="11" max="11" width="10" customWidth="1"/>
    <col min="12" max="12" width="9.5703125" customWidth="1"/>
    <col min="13" max="13" width="8" customWidth="1"/>
    <col min="14" max="14" width="12.28515625" customWidth="1"/>
    <col min="15" max="15" width="7.7109375" customWidth="1"/>
    <col min="16" max="16" width="8.42578125" customWidth="1"/>
    <col min="17" max="17" width="9.7109375" customWidth="1"/>
    <col min="18" max="18" width="12.85546875" customWidth="1"/>
    <col min="19" max="19" width="1.7109375" customWidth="1"/>
  </cols>
  <sheetData>
    <row r="1" spans="1:19">
      <c r="A1" s="97"/>
      <c r="B1" s="541" t="s">
        <v>306</v>
      </c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97"/>
    </row>
    <row r="2" spans="1:19">
      <c r="A2" s="98"/>
      <c r="B2" s="542" t="s">
        <v>740</v>
      </c>
      <c r="C2" s="542"/>
      <c r="D2" s="543" t="s">
        <v>869</v>
      </c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97"/>
    </row>
    <row r="3" spans="1:19">
      <c r="A3" s="97"/>
      <c r="B3" s="99">
        <v>3</v>
      </c>
      <c r="C3" s="100" t="s">
        <v>30</v>
      </c>
      <c r="D3" s="527" t="s">
        <v>1018</v>
      </c>
      <c r="E3" s="527"/>
      <c r="F3" s="537" t="s">
        <v>1019</v>
      </c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97"/>
    </row>
    <row r="4" spans="1:19">
      <c r="A4" s="97"/>
      <c r="B4" s="101"/>
      <c r="C4" s="102" t="s">
        <v>30</v>
      </c>
      <c r="D4" s="523" t="s">
        <v>1020</v>
      </c>
      <c r="E4" s="523"/>
      <c r="F4" s="536" t="s">
        <v>1021</v>
      </c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97"/>
    </row>
    <row r="5" spans="1:19">
      <c r="A5" s="97"/>
      <c r="B5" s="101"/>
      <c r="C5" s="102" t="s">
        <v>30</v>
      </c>
      <c r="D5" s="523" t="s">
        <v>1005</v>
      </c>
      <c r="E5" s="523"/>
      <c r="F5" s="536" t="s">
        <v>1022</v>
      </c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97"/>
    </row>
    <row r="6" spans="1:19">
      <c r="A6" s="97"/>
      <c r="B6" s="101"/>
      <c r="C6" s="102" t="s">
        <v>30</v>
      </c>
      <c r="D6" s="523" t="s">
        <v>1012</v>
      </c>
      <c r="E6" s="523"/>
      <c r="F6" s="536" t="s">
        <v>1023</v>
      </c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97"/>
    </row>
    <row r="7" spans="1:19">
      <c r="A7" s="97"/>
      <c r="B7" s="101"/>
      <c r="C7" s="102" t="s">
        <v>30</v>
      </c>
      <c r="D7" s="523" t="s">
        <v>1024</v>
      </c>
      <c r="E7" s="523"/>
      <c r="F7" s="536" t="s">
        <v>1025</v>
      </c>
      <c r="G7" s="536"/>
      <c r="H7" s="536"/>
      <c r="I7" s="536"/>
      <c r="J7" s="536"/>
      <c r="K7" s="536"/>
      <c r="L7" s="536"/>
      <c r="M7" s="536"/>
      <c r="N7" s="536"/>
      <c r="O7" s="536"/>
      <c r="P7" s="536"/>
      <c r="Q7" s="536"/>
      <c r="R7" s="536"/>
      <c r="S7" s="97"/>
    </row>
    <row r="8" spans="1:19">
      <c r="A8" s="97"/>
      <c r="B8" s="101"/>
      <c r="C8" s="102" t="s">
        <v>30</v>
      </c>
      <c r="D8" s="525" t="s">
        <v>1026</v>
      </c>
      <c r="E8" s="525"/>
      <c r="F8" s="535" t="s">
        <v>1027</v>
      </c>
      <c r="G8" s="535"/>
      <c r="H8" s="535"/>
      <c r="I8" s="535"/>
      <c r="J8" s="535"/>
      <c r="K8" s="535"/>
      <c r="L8" s="535"/>
      <c r="M8" s="535"/>
      <c r="N8" s="535"/>
      <c r="O8" s="535"/>
      <c r="P8" s="535"/>
      <c r="Q8" s="535"/>
      <c r="R8" s="535"/>
      <c r="S8" s="97"/>
    </row>
    <row r="9" spans="1:19">
      <c r="A9" s="97"/>
      <c r="B9" s="103">
        <v>2.5</v>
      </c>
      <c r="C9" s="100" t="s">
        <v>30</v>
      </c>
      <c r="D9" s="527" t="s">
        <v>1028</v>
      </c>
      <c r="E9" s="527"/>
      <c r="F9" s="537" t="s">
        <v>1029</v>
      </c>
      <c r="G9" s="537"/>
      <c r="H9" s="537"/>
      <c r="I9" s="537"/>
      <c r="J9" s="537"/>
      <c r="K9" s="537"/>
      <c r="L9" s="537"/>
      <c r="M9" s="537"/>
      <c r="N9" s="537"/>
      <c r="O9" s="537"/>
      <c r="P9" s="537"/>
      <c r="Q9" s="537"/>
      <c r="R9" s="537"/>
      <c r="S9" s="97"/>
    </row>
    <row r="10" spans="1:19">
      <c r="A10" s="97"/>
      <c r="B10" s="101"/>
      <c r="C10" s="104" t="s">
        <v>30</v>
      </c>
      <c r="D10" s="523" t="s">
        <v>1005</v>
      </c>
      <c r="E10" s="523"/>
      <c r="F10" s="536" t="s">
        <v>1030</v>
      </c>
      <c r="G10" s="536"/>
      <c r="H10" s="536"/>
      <c r="I10" s="536"/>
      <c r="J10" s="536"/>
      <c r="K10" s="536"/>
      <c r="L10" s="536"/>
      <c r="M10" s="536"/>
      <c r="N10" s="536"/>
      <c r="O10" s="536"/>
      <c r="P10" s="536"/>
      <c r="Q10" s="536"/>
      <c r="R10" s="536"/>
      <c r="S10" s="97"/>
    </row>
    <row r="11" spans="1:19">
      <c r="A11" s="97"/>
      <c r="B11" s="101"/>
      <c r="C11" s="104" t="s">
        <v>30</v>
      </c>
      <c r="D11" s="523" t="s">
        <v>1031</v>
      </c>
      <c r="E11" s="523"/>
      <c r="F11" s="536" t="s">
        <v>1032</v>
      </c>
      <c r="G11" s="536"/>
      <c r="H11" s="536"/>
      <c r="I11" s="536"/>
      <c r="J11" s="536"/>
      <c r="K11" s="536"/>
      <c r="L11" s="536"/>
      <c r="M11" s="536"/>
      <c r="N11" s="536"/>
      <c r="O11" s="536"/>
      <c r="P11" s="536"/>
      <c r="Q11" s="536"/>
      <c r="R11" s="536"/>
      <c r="S11" s="97"/>
    </row>
    <row r="12" spans="1:19">
      <c r="A12" s="97"/>
      <c r="B12" s="101"/>
      <c r="C12" s="104" t="s">
        <v>30</v>
      </c>
      <c r="D12" s="523" t="s">
        <v>1033</v>
      </c>
      <c r="E12" s="523"/>
      <c r="F12" s="536" t="s">
        <v>1034</v>
      </c>
      <c r="G12" s="536"/>
      <c r="H12" s="536"/>
      <c r="I12" s="536"/>
      <c r="J12" s="536"/>
      <c r="K12" s="536"/>
      <c r="L12" s="536"/>
      <c r="M12" s="536"/>
      <c r="N12" s="536"/>
      <c r="O12" s="536"/>
      <c r="P12" s="536"/>
      <c r="Q12" s="536"/>
      <c r="R12" s="536"/>
      <c r="S12" s="97"/>
    </row>
    <row r="13" spans="1:19">
      <c r="A13" s="97"/>
      <c r="B13" s="101"/>
      <c r="C13" s="104"/>
      <c r="D13" s="523"/>
      <c r="E13" s="523"/>
      <c r="F13" s="536" t="s">
        <v>1035</v>
      </c>
      <c r="G13" s="536"/>
      <c r="H13" s="536"/>
      <c r="I13" s="536"/>
      <c r="J13" s="536"/>
      <c r="K13" s="536"/>
      <c r="L13" s="536"/>
      <c r="M13" s="536"/>
      <c r="N13" s="536"/>
      <c r="O13" s="536"/>
      <c r="P13" s="536"/>
      <c r="Q13" s="536"/>
      <c r="R13" s="536"/>
      <c r="S13" s="97"/>
    </row>
    <row r="14" spans="1:19">
      <c r="A14" s="97"/>
      <c r="B14" s="101"/>
      <c r="C14" s="104"/>
      <c r="D14" s="523" t="s">
        <v>476</v>
      </c>
      <c r="E14" s="523"/>
      <c r="F14" s="105" t="s">
        <v>1036</v>
      </c>
      <c r="G14" s="105"/>
      <c r="H14" s="544" t="str">
        <f ca="1">VLOOKUP("Page Number",Zone_Traduction,ref_langue_6,FALSE)</f>
        <v>Page Number</v>
      </c>
      <c r="I14" s="544"/>
      <c r="J14" s="544" t="str">
        <f ca="1">VLOOKUP("Book Name",Zone_Traduction,ref_langue_6,FALSE)</f>
        <v>Book Name</v>
      </c>
      <c r="K14" s="544"/>
      <c r="L14" s="544"/>
      <c r="M14" s="544" t="str">
        <f ca="1">VLOOKUP("List Name",Zone_Traduction,ref_langue_6,FALSE)</f>
        <v>List Name</v>
      </c>
      <c r="N14" s="544"/>
      <c r="O14" s="105"/>
      <c r="P14" s="105"/>
      <c r="Q14" s="105"/>
      <c r="R14" s="106"/>
      <c r="S14" s="97"/>
    </row>
    <row r="15" spans="1:19">
      <c r="A15" s="97"/>
      <c r="B15" s="101"/>
      <c r="C15" s="104"/>
      <c r="D15" s="523"/>
      <c r="E15" s="523"/>
      <c r="F15" s="105"/>
      <c r="G15" s="105"/>
      <c r="H15" s="538">
        <v>23</v>
      </c>
      <c r="I15" s="538"/>
      <c r="J15" s="539" t="s">
        <v>344</v>
      </c>
      <c r="K15" s="539"/>
      <c r="L15" s="539"/>
      <c r="M15" s="540" t="s">
        <v>355</v>
      </c>
      <c r="N15" s="540"/>
      <c r="O15" s="105"/>
      <c r="P15" s="105"/>
      <c r="Q15" s="105"/>
      <c r="R15" s="106"/>
      <c r="S15" s="97"/>
    </row>
    <row r="16" spans="1:19">
      <c r="A16" s="97"/>
      <c r="B16" s="101"/>
      <c r="C16" s="104" t="s">
        <v>30</v>
      </c>
      <c r="D16" s="523" t="s">
        <v>1037</v>
      </c>
      <c r="E16" s="523"/>
      <c r="F16" s="536" t="s">
        <v>1038</v>
      </c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536"/>
      <c r="S16" s="97"/>
    </row>
    <row r="17" spans="1:19">
      <c r="A17" s="97"/>
      <c r="B17" s="107"/>
      <c r="C17" s="108" t="s">
        <v>30</v>
      </c>
      <c r="D17" s="523" t="s">
        <v>1039</v>
      </c>
      <c r="E17" s="523"/>
      <c r="F17" s="535" t="s">
        <v>1040</v>
      </c>
      <c r="G17" s="535"/>
      <c r="H17" s="535"/>
      <c r="I17" s="535"/>
      <c r="J17" s="535"/>
      <c r="K17" s="535"/>
      <c r="L17" s="535"/>
      <c r="M17" s="535"/>
      <c r="N17" s="535"/>
      <c r="O17" s="535"/>
      <c r="P17" s="535"/>
      <c r="Q17" s="535"/>
      <c r="R17" s="535"/>
      <c r="S17" s="97"/>
    </row>
    <row r="18" spans="1:19">
      <c r="A18" s="97"/>
      <c r="B18" s="109">
        <v>2.4</v>
      </c>
      <c r="C18" s="110" t="s">
        <v>30</v>
      </c>
      <c r="D18" s="545" t="s">
        <v>1041</v>
      </c>
      <c r="E18" s="545"/>
      <c r="F18" s="546" t="s">
        <v>1042</v>
      </c>
      <c r="G18" s="546"/>
      <c r="H18" s="546"/>
      <c r="I18" s="546"/>
      <c r="J18" s="546"/>
      <c r="K18" s="546"/>
      <c r="L18" s="546"/>
      <c r="M18" s="546"/>
      <c r="N18" s="546"/>
      <c r="O18" s="546"/>
      <c r="P18" s="546"/>
      <c r="Q18" s="546"/>
      <c r="R18" s="546"/>
      <c r="S18" s="97"/>
    </row>
    <row r="19" spans="1:19">
      <c r="A19" s="97"/>
      <c r="B19" s="101" t="s">
        <v>735</v>
      </c>
      <c r="C19" s="102" t="s">
        <v>30</v>
      </c>
      <c r="D19" s="523" t="s">
        <v>1024</v>
      </c>
      <c r="E19" s="523"/>
      <c r="F19" s="537" t="s">
        <v>1043</v>
      </c>
      <c r="G19" s="537"/>
      <c r="H19" s="537"/>
      <c r="I19" s="537"/>
      <c r="J19" s="537"/>
      <c r="K19" s="537"/>
      <c r="L19" s="537"/>
      <c r="M19" s="537"/>
      <c r="N19" s="537"/>
      <c r="O19" s="537"/>
      <c r="P19" s="537"/>
      <c r="Q19" s="537"/>
      <c r="R19" s="537"/>
      <c r="S19" s="97"/>
    </row>
    <row r="20" spans="1:19">
      <c r="A20" s="97"/>
      <c r="B20" s="111"/>
      <c r="C20" s="102" t="s">
        <v>30</v>
      </c>
      <c r="D20" s="523" t="s">
        <v>775</v>
      </c>
      <c r="E20" s="523"/>
      <c r="F20" s="536" t="s">
        <v>1044</v>
      </c>
      <c r="G20" s="536"/>
      <c r="H20" s="536"/>
      <c r="I20" s="536"/>
      <c r="J20" s="536"/>
      <c r="K20" s="536"/>
      <c r="L20" s="536"/>
      <c r="M20" s="536"/>
      <c r="N20" s="536"/>
      <c r="O20" s="536"/>
      <c r="P20" s="536"/>
      <c r="Q20" s="536"/>
      <c r="R20" s="536"/>
      <c r="S20" s="97"/>
    </row>
    <row r="21" spans="1:19">
      <c r="A21" s="97"/>
      <c r="B21" s="112"/>
      <c r="C21" s="108" t="s">
        <v>30</v>
      </c>
      <c r="D21" s="525" t="s">
        <v>773</v>
      </c>
      <c r="E21" s="525"/>
      <c r="F21" s="535" t="s">
        <v>1045</v>
      </c>
      <c r="G21" s="535"/>
      <c r="H21" s="535"/>
      <c r="I21" s="535"/>
      <c r="J21" s="535"/>
      <c r="K21" s="535"/>
      <c r="L21" s="535"/>
      <c r="M21" s="535"/>
      <c r="N21" s="535"/>
      <c r="O21" s="535"/>
      <c r="P21" s="535"/>
      <c r="Q21" s="535"/>
      <c r="R21" s="535"/>
      <c r="S21" s="97"/>
    </row>
    <row r="22" spans="1:19">
      <c r="A22" s="97"/>
      <c r="B22" s="111" t="s">
        <v>736</v>
      </c>
      <c r="C22" s="102" t="s">
        <v>30</v>
      </c>
      <c r="D22" s="523" t="s">
        <v>1046</v>
      </c>
      <c r="E22" s="523"/>
      <c r="F22" s="537" t="s">
        <v>1047</v>
      </c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97"/>
    </row>
    <row r="23" spans="1:19">
      <c r="A23" s="97"/>
      <c r="B23" s="112"/>
      <c r="C23" s="108" t="s">
        <v>30</v>
      </c>
      <c r="D23" s="525" t="s">
        <v>1048</v>
      </c>
      <c r="E23" s="525"/>
      <c r="F23" s="535" t="s">
        <v>1049</v>
      </c>
      <c r="G23" s="535"/>
      <c r="H23" s="535"/>
      <c r="I23" s="535"/>
      <c r="J23" s="535"/>
      <c r="K23" s="535"/>
      <c r="L23" s="535"/>
      <c r="M23" s="535"/>
      <c r="N23" s="535"/>
      <c r="O23" s="535"/>
      <c r="P23" s="535"/>
      <c r="Q23" s="535"/>
      <c r="R23" s="535"/>
      <c r="S23" s="97"/>
    </row>
    <row r="24" spans="1:19">
      <c r="A24" s="97"/>
      <c r="B24" s="111" t="s">
        <v>737</v>
      </c>
      <c r="C24" s="102" t="s">
        <v>30</v>
      </c>
      <c r="D24" s="523" t="s">
        <v>1003</v>
      </c>
      <c r="E24" s="523"/>
      <c r="F24" s="530" t="s">
        <v>1050</v>
      </c>
      <c r="G24" s="530"/>
      <c r="H24" s="530"/>
      <c r="I24" s="530"/>
      <c r="J24" s="530"/>
      <c r="K24" s="530"/>
      <c r="L24" s="530"/>
      <c r="M24" s="530"/>
      <c r="N24" s="530"/>
      <c r="O24" s="530"/>
      <c r="P24" s="530"/>
      <c r="Q24" s="530"/>
      <c r="R24" s="530"/>
      <c r="S24" s="97"/>
    </row>
    <row r="25" spans="1:19">
      <c r="A25" s="97"/>
      <c r="B25" s="111"/>
      <c r="C25" s="102" t="s">
        <v>30</v>
      </c>
      <c r="D25" s="523" t="s">
        <v>779</v>
      </c>
      <c r="E25" s="523"/>
      <c r="F25" s="536" t="s">
        <v>1051</v>
      </c>
      <c r="G25" s="536"/>
      <c r="H25" s="536"/>
      <c r="I25" s="536"/>
      <c r="J25" s="536"/>
      <c r="K25" s="536"/>
      <c r="L25" s="536"/>
      <c r="M25" s="536"/>
      <c r="N25" s="536"/>
      <c r="O25" s="536"/>
      <c r="P25" s="536"/>
      <c r="Q25" s="536"/>
      <c r="R25" s="536"/>
      <c r="S25" s="97"/>
    </row>
    <row r="26" spans="1:19">
      <c r="A26" s="97"/>
      <c r="B26" s="111"/>
      <c r="C26" s="102"/>
      <c r="D26" s="523" t="s">
        <v>779</v>
      </c>
      <c r="E26" s="523"/>
      <c r="F26" s="536" t="s">
        <v>1052</v>
      </c>
      <c r="G26" s="536"/>
      <c r="H26" s="536"/>
      <c r="I26" s="536"/>
      <c r="J26" s="536"/>
      <c r="K26" s="536"/>
      <c r="L26" s="536"/>
      <c r="M26" s="536"/>
      <c r="N26" s="536"/>
      <c r="O26" s="536"/>
      <c r="P26" s="536"/>
      <c r="Q26" s="536"/>
      <c r="R26" s="536"/>
      <c r="S26" s="97"/>
    </row>
    <row r="27" spans="1:19">
      <c r="A27" s="97"/>
      <c r="B27" s="111"/>
      <c r="C27" s="102" t="s">
        <v>30</v>
      </c>
      <c r="D27" s="523" t="s">
        <v>1053</v>
      </c>
      <c r="E27" s="523"/>
      <c r="F27" s="536" t="s">
        <v>1054</v>
      </c>
      <c r="G27" s="536"/>
      <c r="H27" s="536"/>
      <c r="I27" s="536"/>
      <c r="J27" s="536"/>
      <c r="K27" s="536"/>
      <c r="L27" s="536"/>
      <c r="M27" s="536"/>
      <c r="N27" s="536"/>
      <c r="O27" s="536"/>
      <c r="P27" s="536"/>
      <c r="Q27" s="536"/>
      <c r="R27" s="536"/>
      <c r="S27" s="97"/>
    </row>
    <row r="28" spans="1:19">
      <c r="A28" s="97"/>
      <c r="B28" s="112"/>
      <c r="C28" s="108" t="s">
        <v>30</v>
      </c>
      <c r="D28" s="525" t="s">
        <v>1055</v>
      </c>
      <c r="E28" s="525"/>
      <c r="F28" s="534" t="s">
        <v>1056</v>
      </c>
      <c r="G28" s="535"/>
      <c r="H28" s="535"/>
      <c r="I28" s="535"/>
      <c r="J28" s="535"/>
      <c r="K28" s="535"/>
      <c r="L28" s="535"/>
      <c r="M28" s="535"/>
      <c r="N28" s="535"/>
      <c r="O28" s="535"/>
      <c r="P28" s="535"/>
      <c r="Q28" s="535"/>
      <c r="R28" s="535"/>
      <c r="S28" s="97"/>
    </row>
    <row r="29" spans="1:19">
      <c r="A29" s="97"/>
      <c r="B29" s="111" t="s">
        <v>738</v>
      </c>
      <c r="C29" s="102" t="s">
        <v>30</v>
      </c>
      <c r="D29" s="527" t="s">
        <v>1018</v>
      </c>
      <c r="E29" s="527"/>
      <c r="F29" s="530" t="s">
        <v>1057</v>
      </c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97"/>
    </row>
    <row r="30" spans="1:19">
      <c r="A30" s="97"/>
      <c r="B30" s="111"/>
      <c r="C30" s="102" t="s">
        <v>30</v>
      </c>
      <c r="D30" s="523" t="s">
        <v>1058</v>
      </c>
      <c r="E30" s="523"/>
      <c r="F30" s="532" t="s">
        <v>1059</v>
      </c>
      <c r="G30" s="532"/>
      <c r="H30" s="532"/>
      <c r="I30" s="532"/>
      <c r="J30" s="532"/>
      <c r="K30" s="532"/>
      <c r="L30" s="532"/>
      <c r="M30" s="532"/>
      <c r="N30" s="532"/>
      <c r="O30" s="532"/>
      <c r="P30" s="532"/>
      <c r="Q30" s="532"/>
      <c r="R30" s="532"/>
      <c r="S30" s="97"/>
    </row>
    <row r="31" spans="1:19">
      <c r="A31" s="97"/>
      <c r="B31" s="111"/>
      <c r="C31" s="102" t="s">
        <v>30</v>
      </c>
      <c r="D31" s="523" t="s">
        <v>225</v>
      </c>
      <c r="E31" s="523"/>
      <c r="F31" s="532" t="s">
        <v>1060</v>
      </c>
      <c r="G31" s="532"/>
      <c r="H31" s="532"/>
      <c r="I31" s="532"/>
      <c r="J31" s="532"/>
      <c r="K31" s="532"/>
      <c r="L31" s="532"/>
      <c r="M31" s="532"/>
      <c r="N31" s="532"/>
      <c r="O31" s="532"/>
      <c r="P31" s="532"/>
      <c r="Q31" s="532"/>
      <c r="R31" s="532"/>
      <c r="S31" s="97"/>
    </row>
    <row r="32" spans="1:19">
      <c r="A32" s="97"/>
      <c r="B32" s="111"/>
      <c r="C32" s="102" t="s">
        <v>30</v>
      </c>
      <c r="D32" s="523" t="s">
        <v>1053</v>
      </c>
      <c r="E32" s="523"/>
      <c r="F32" s="532" t="s">
        <v>1061</v>
      </c>
      <c r="G32" s="532"/>
      <c r="H32" s="532"/>
      <c r="I32" s="532"/>
      <c r="J32" s="532"/>
      <c r="K32" s="532"/>
      <c r="L32" s="532"/>
      <c r="M32" s="532"/>
      <c r="N32" s="532"/>
      <c r="O32" s="532"/>
      <c r="P32" s="532"/>
      <c r="Q32" s="532"/>
      <c r="R32" s="532"/>
      <c r="S32" s="97"/>
    </row>
    <row r="33" spans="1:19">
      <c r="A33" s="97"/>
      <c r="B33" s="111"/>
      <c r="C33" s="102" t="s">
        <v>30</v>
      </c>
      <c r="D33" s="523" t="s">
        <v>1062</v>
      </c>
      <c r="E33" s="523"/>
      <c r="F33" s="532" t="s">
        <v>1063</v>
      </c>
      <c r="G33" s="532"/>
      <c r="H33" s="532"/>
      <c r="I33" s="532"/>
      <c r="J33" s="532"/>
      <c r="K33" s="532"/>
      <c r="L33" s="532"/>
      <c r="M33" s="532"/>
      <c r="N33" s="532"/>
      <c r="O33" s="532"/>
      <c r="P33" s="532"/>
      <c r="Q33" s="532"/>
      <c r="R33" s="532"/>
      <c r="S33" s="97"/>
    </row>
    <row r="34" spans="1:19">
      <c r="A34" s="97"/>
      <c r="B34" s="111"/>
      <c r="C34" s="102" t="s">
        <v>30</v>
      </c>
      <c r="D34" s="523" t="s">
        <v>853</v>
      </c>
      <c r="E34" s="523"/>
      <c r="F34" s="532" t="s">
        <v>1064</v>
      </c>
      <c r="G34" s="532"/>
      <c r="H34" s="532"/>
      <c r="I34" s="532"/>
      <c r="J34" s="532"/>
      <c r="K34" s="532"/>
      <c r="L34" s="532"/>
      <c r="M34" s="532"/>
      <c r="N34" s="532"/>
      <c r="O34" s="532"/>
      <c r="P34" s="532"/>
      <c r="Q34" s="532"/>
      <c r="R34" s="532"/>
      <c r="S34" s="97"/>
    </row>
    <row r="35" spans="1:19">
      <c r="A35" s="97"/>
      <c r="B35" s="111"/>
      <c r="C35" s="102" t="s">
        <v>30</v>
      </c>
      <c r="D35" s="523" t="s">
        <v>1065</v>
      </c>
      <c r="E35" s="523"/>
      <c r="F35" s="532" t="s">
        <v>1066</v>
      </c>
      <c r="G35" s="532"/>
      <c r="H35" s="532"/>
      <c r="I35" s="532"/>
      <c r="J35" s="532"/>
      <c r="K35" s="532"/>
      <c r="L35" s="532"/>
      <c r="M35" s="532"/>
      <c r="N35" s="532"/>
      <c r="O35" s="532"/>
      <c r="P35" s="532"/>
      <c r="Q35" s="532"/>
      <c r="R35" s="532"/>
      <c r="S35" s="97"/>
    </row>
    <row r="36" spans="1:19">
      <c r="A36" s="97"/>
      <c r="B36" s="112"/>
      <c r="C36" s="108" t="s">
        <v>30</v>
      </c>
      <c r="D36" s="523" t="s">
        <v>969</v>
      </c>
      <c r="E36" s="523"/>
      <c r="F36" s="533" t="s">
        <v>1067</v>
      </c>
      <c r="G36" s="533"/>
      <c r="H36" s="533"/>
      <c r="I36" s="533"/>
      <c r="J36" s="533"/>
      <c r="K36" s="533"/>
      <c r="L36" s="533"/>
      <c r="M36" s="533"/>
      <c r="N36" s="533"/>
      <c r="O36" s="533"/>
      <c r="P36" s="533"/>
      <c r="Q36" s="533"/>
      <c r="R36" s="533"/>
      <c r="S36" s="97"/>
    </row>
    <row r="37" spans="1:19">
      <c r="A37" s="97"/>
      <c r="B37" s="111">
        <v>1.7</v>
      </c>
      <c r="C37" s="102" t="s">
        <v>30</v>
      </c>
      <c r="D37" s="527" t="s">
        <v>1068</v>
      </c>
      <c r="E37" s="527"/>
      <c r="F37" s="530" t="s">
        <v>268</v>
      </c>
      <c r="G37" s="530"/>
      <c r="H37" s="530"/>
      <c r="I37" s="530"/>
      <c r="J37" s="530"/>
      <c r="K37" s="530"/>
      <c r="L37" s="530"/>
      <c r="M37" s="530"/>
      <c r="N37" s="530"/>
      <c r="O37" s="530"/>
      <c r="P37" s="530"/>
      <c r="Q37" s="530"/>
      <c r="R37" s="530"/>
      <c r="S37" s="97"/>
    </row>
    <row r="38" spans="1:19">
      <c r="A38" s="97"/>
      <c r="B38" s="111"/>
      <c r="C38" s="102" t="s">
        <v>30</v>
      </c>
      <c r="D38" s="523" t="s">
        <v>1069</v>
      </c>
      <c r="E38" s="523"/>
      <c r="F38" s="531" t="s">
        <v>269</v>
      </c>
      <c r="G38" s="531"/>
      <c r="H38" s="531"/>
      <c r="I38" s="531"/>
      <c r="J38" s="531"/>
      <c r="K38" s="531"/>
      <c r="L38" s="531"/>
      <c r="M38" s="531"/>
      <c r="N38" s="531"/>
      <c r="O38" s="531"/>
      <c r="P38" s="531"/>
      <c r="Q38" s="531"/>
      <c r="R38" s="531"/>
      <c r="S38" s="97"/>
    </row>
    <row r="39" spans="1:19">
      <c r="A39" s="97"/>
      <c r="B39" s="111"/>
      <c r="C39" s="102" t="s">
        <v>30</v>
      </c>
      <c r="D39" s="523" t="s">
        <v>228</v>
      </c>
      <c r="E39" s="523"/>
      <c r="F39" s="531" t="s">
        <v>1070</v>
      </c>
      <c r="G39" s="531"/>
      <c r="H39" s="531"/>
      <c r="I39" s="531"/>
      <c r="J39" s="531"/>
      <c r="K39" s="531"/>
      <c r="L39" s="531"/>
      <c r="M39" s="531"/>
      <c r="N39" s="531"/>
      <c r="O39" s="531"/>
      <c r="P39" s="531"/>
      <c r="Q39" s="531"/>
      <c r="R39" s="531"/>
      <c r="S39" s="97"/>
    </row>
    <row r="40" spans="1:19">
      <c r="A40" s="97"/>
      <c r="B40" s="112"/>
      <c r="C40" s="108" t="s">
        <v>30</v>
      </c>
      <c r="D40" s="525" t="s">
        <v>1018</v>
      </c>
      <c r="E40" s="525"/>
      <c r="F40" s="529" t="s">
        <v>270</v>
      </c>
      <c r="G40" s="529"/>
      <c r="H40" s="529"/>
      <c r="I40" s="529"/>
      <c r="J40" s="529"/>
      <c r="K40" s="529"/>
      <c r="L40" s="529"/>
      <c r="M40" s="529"/>
      <c r="N40" s="529"/>
      <c r="O40" s="529"/>
      <c r="P40" s="529"/>
      <c r="Q40" s="529"/>
      <c r="R40" s="529"/>
      <c r="S40" s="97"/>
    </row>
    <row r="41" spans="1:19">
      <c r="A41" s="97"/>
      <c r="B41" s="111">
        <v>1.6</v>
      </c>
      <c r="C41" s="102" t="s">
        <v>30</v>
      </c>
      <c r="D41" s="527" t="s">
        <v>1039</v>
      </c>
      <c r="E41" s="527"/>
      <c r="F41" s="528" t="s">
        <v>1071</v>
      </c>
      <c r="G41" s="528"/>
      <c r="H41" s="528"/>
      <c r="I41" s="528"/>
      <c r="J41" s="528"/>
      <c r="K41" s="528"/>
      <c r="L41" s="528"/>
      <c r="M41" s="528"/>
      <c r="N41" s="528"/>
      <c r="O41" s="528"/>
      <c r="P41" s="528"/>
      <c r="Q41" s="528"/>
      <c r="R41" s="528"/>
      <c r="S41" s="97"/>
    </row>
    <row r="42" spans="1:19">
      <c r="A42" s="97"/>
      <c r="B42" s="111"/>
      <c r="C42" s="102" t="s">
        <v>30</v>
      </c>
      <c r="D42" s="523" t="s">
        <v>1069</v>
      </c>
      <c r="E42" s="523"/>
      <c r="F42" s="524" t="s">
        <v>271</v>
      </c>
      <c r="G42" s="524"/>
      <c r="H42" s="524"/>
      <c r="I42" s="524"/>
      <c r="J42" s="524"/>
      <c r="K42" s="524"/>
      <c r="L42" s="524"/>
      <c r="M42" s="524"/>
      <c r="N42" s="524"/>
      <c r="O42" s="524"/>
      <c r="P42" s="524"/>
      <c r="Q42" s="524"/>
      <c r="R42" s="524"/>
      <c r="S42" s="97"/>
    </row>
    <row r="43" spans="1:19">
      <c r="A43" s="97"/>
      <c r="B43" s="112"/>
      <c r="C43" s="108" t="s">
        <v>30</v>
      </c>
      <c r="D43" s="523" t="s">
        <v>1058</v>
      </c>
      <c r="E43" s="523"/>
      <c r="F43" s="524" t="s">
        <v>1072</v>
      </c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  <c r="S43" s="97"/>
    </row>
    <row r="44" spans="1:19">
      <c r="A44" s="97"/>
      <c r="B44" s="111">
        <v>1.5</v>
      </c>
      <c r="C44" s="102" t="s">
        <v>30</v>
      </c>
      <c r="D44" s="527" t="s">
        <v>1058</v>
      </c>
      <c r="E44" s="527"/>
      <c r="F44" s="528" t="s">
        <v>1073</v>
      </c>
      <c r="G44" s="528"/>
      <c r="H44" s="528"/>
      <c r="I44" s="528"/>
      <c r="J44" s="528"/>
      <c r="K44" s="528"/>
      <c r="L44" s="528"/>
      <c r="M44" s="528"/>
      <c r="N44" s="528"/>
      <c r="O44" s="528"/>
      <c r="P44" s="528"/>
      <c r="Q44" s="528"/>
      <c r="R44" s="528"/>
      <c r="S44" s="97"/>
    </row>
    <row r="45" spans="1:19">
      <c r="A45" s="97"/>
      <c r="B45" s="111"/>
      <c r="C45" s="102" t="s">
        <v>30</v>
      </c>
      <c r="D45" s="523" t="s">
        <v>1074</v>
      </c>
      <c r="E45" s="523"/>
      <c r="F45" s="524" t="s">
        <v>272</v>
      </c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4"/>
      <c r="S45" s="97"/>
    </row>
    <row r="46" spans="1:19">
      <c r="A46" s="97"/>
      <c r="B46" s="111"/>
      <c r="C46" s="102" t="s">
        <v>30</v>
      </c>
      <c r="D46" s="523" t="s">
        <v>226</v>
      </c>
      <c r="E46" s="523"/>
      <c r="F46" s="524" t="s">
        <v>273</v>
      </c>
      <c r="G46" s="524"/>
      <c r="H46" s="524"/>
      <c r="I46" s="524"/>
      <c r="J46" s="524"/>
      <c r="K46" s="524"/>
      <c r="L46" s="524"/>
      <c r="M46" s="524"/>
      <c r="N46" s="524"/>
      <c r="O46" s="524"/>
      <c r="P46" s="524"/>
      <c r="Q46" s="524"/>
      <c r="R46" s="524"/>
      <c r="S46" s="97"/>
    </row>
    <row r="47" spans="1:19">
      <c r="A47" s="97"/>
      <c r="B47" s="111"/>
      <c r="C47" s="102" t="s">
        <v>30</v>
      </c>
      <c r="D47" s="523" t="s">
        <v>225</v>
      </c>
      <c r="E47" s="523"/>
      <c r="F47" s="524" t="s">
        <v>274</v>
      </c>
      <c r="G47" s="524"/>
      <c r="H47" s="524"/>
      <c r="I47" s="524"/>
      <c r="J47" s="524"/>
      <c r="K47" s="524"/>
      <c r="L47" s="524"/>
      <c r="M47" s="524"/>
      <c r="N47" s="524"/>
      <c r="O47" s="524"/>
      <c r="P47" s="524"/>
      <c r="Q47" s="524"/>
      <c r="R47" s="524"/>
      <c r="S47" s="97"/>
    </row>
    <row r="48" spans="1:19">
      <c r="A48" s="97"/>
      <c r="B48" s="111"/>
      <c r="C48" s="102" t="s">
        <v>30</v>
      </c>
      <c r="D48" s="523" t="s">
        <v>1075</v>
      </c>
      <c r="E48" s="523"/>
      <c r="F48" s="524" t="s">
        <v>275</v>
      </c>
      <c r="G48" s="524"/>
      <c r="H48" s="524"/>
      <c r="I48" s="524"/>
      <c r="J48" s="524"/>
      <c r="K48" s="524"/>
      <c r="L48" s="524"/>
      <c r="M48" s="524"/>
      <c r="N48" s="524"/>
      <c r="O48" s="524"/>
      <c r="P48" s="524"/>
      <c r="Q48" s="524"/>
      <c r="R48" s="524"/>
      <c r="S48" s="97"/>
    </row>
    <row r="49" spans="1:19">
      <c r="A49" s="97"/>
      <c r="B49" s="111"/>
      <c r="C49" s="102" t="s">
        <v>30</v>
      </c>
      <c r="D49" s="523" t="s">
        <v>1053</v>
      </c>
      <c r="E49" s="523"/>
      <c r="F49" s="524" t="s">
        <v>276</v>
      </c>
      <c r="G49" s="524"/>
      <c r="H49" s="524"/>
      <c r="I49" s="524"/>
      <c r="J49" s="524"/>
      <c r="K49" s="524"/>
      <c r="L49" s="524"/>
      <c r="M49" s="524"/>
      <c r="N49" s="524"/>
      <c r="O49" s="524"/>
      <c r="P49" s="524"/>
      <c r="Q49" s="524"/>
      <c r="R49" s="524"/>
      <c r="S49" s="97"/>
    </row>
    <row r="50" spans="1:19">
      <c r="A50" s="97"/>
      <c r="B50" s="111"/>
      <c r="C50" s="102" t="s">
        <v>30</v>
      </c>
      <c r="D50" s="523" t="s">
        <v>228</v>
      </c>
      <c r="E50" s="523"/>
      <c r="F50" s="524" t="s">
        <v>277</v>
      </c>
      <c r="G50" s="524"/>
      <c r="H50" s="524"/>
      <c r="I50" s="524"/>
      <c r="J50" s="524"/>
      <c r="K50" s="524"/>
      <c r="L50" s="524"/>
      <c r="M50" s="524"/>
      <c r="N50" s="524"/>
      <c r="O50" s="524"/>
      <c r="P50" s="524"/>
      <c r="Q50" s="524"/>
      <c r="R50" s="524"/>
      <c r="S50" s="97"/>
    </row>
    <row r="51" spans="1:19">
      <c r="A51" s="97"/>
      <c r="B51" s="112"/>
      <c r="C51" s="108"/>
      <c r="D51" s="525" t="s">
        <v>1076</v>
      </c>
      <c r="E51" s="525"/>
      <c r="F51" s="526" t="s">
        <v>278</v>
      </c>
      <c r="G51" s="526"/>
      <c r="H51" s="526"/>
      <c r="I51" s="526"/>
      <c r="J51" s="526"/>
      <c r="K51" s="526"/>
      <c r="L51" s="526"/>
      <c r="M51" s="526"/>
      <c r="N51" s="526"/>
      <c r="O51" s="526"/>
      <c r="P51" s="526"/>
      <c r="Q51" s="526"/>
      <c r="R51" s="526"/>
      <c r="S51" s="97"/>
    </row>
    <row r="52" spans="1:19">
      <c r="A52" s="97"/>
      <c r="B52" s="113"/>
      <c r="C52" s="113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</row>
    <row r="55" spans="1:19">
      <c r="A55" s="114"/>
      <c r="B55"/>
      <c r="C55"/>
    </row>
    <row r="56" spans="1:19">
      <c r="A56" s="114"/>
      <c r="B56"/>
      <c r="C56"/>
    </row>
    <row r="57" spans="1:19">
      <c r="A57" s="114"/>
      <c r="B57"/>
      <c r="C57"/>
    </row>
    <row r="58" spans="1:19">
      <c r="A58" s="114"/>
      <c r="B58"/>
      <c r="C58"/>
    </row>
    <row r="59" spans="1:19">
      <c r="A59" s="114"/>
      <c r="B59"/>
      <c r="C59"/>
    </row>
    <row r="60" spans="1:19">
      <c r="A60" s="114"/>
      <c r="B60"/>
      <c r="C60"/>
    </row>
    <row r="61" spans="1:19">
      <c r="A61" s="114"/>
      <c r="B61"/>
      <c r="C61"/>
    </row>
    <row r="62" spans="1:19">
      <c r="A62" s="114"/>
      <c r="B62"/>
      <c r="C62"/>
    </row>
    <row r="63" spans="1:19">
      <c r="A63" s="114"/>
      <c r="B63"/>
      <c r="C63"/>
    </row>
    <row r="69" spans="4:4">
      <c r="D69" s="114"/>
    </row>
    <row r="70" spans="4:4">
      <c r="D70" s="114"/>
    </row>
  </sheetData>
  <mergeCells count="105">
    <mergeCell ref="D26:E26"/>
    <mergeCell ref="F26:R26"/>
    <mergeCell ref="D27:E27"/>
    <mergeCell ref="F27:R27"/>
    <mergeCell ref="D7:E7"/>
    <mergeCell ref="F7:R7"/>
    <mergeCell ref="D8:E8"/>
    <mergeCell ref="D10:E10"/>
    <mergeCell ref="F10:R10"/>
    <mergeCell ref="D11:E11"/>
    <mergeCell ref="F11:R11"/>
    <mergeCell ref="D12:E12"/>
    <mergeCell ref="F12:R12"/>
    <mergeCell ref="D13:E13"/>
    <mergeCell ref="F13:R13"/>
    <mergeCell ref="D14:E14"/>
    <mergeCell ref="H14:I14"/>
    <mergeCell ref="J14:L14"/>
    <mergeCell ref="M14:N14"/>
    <mergeCell ref="D17:E17"/>
    <mergeCell ref="F17:R17"/>
    <mergeCell ref="D18:E18"/>
    <mergeCell ref="F18:R18"/>
    <mergeCell ref="D19:E19"/>
    <mergeCell ref="D5:E5"/>
    <mergeCell ref="F5:R5"/>
    <mergeCell ref="D6:E6"/>
    <mergeCell ref="F6:R6"/>
    <mergeCell ref="F8:R8"/>
    <mergeCell ref="D9:E9"/>
    <mergeCell ref="F9:R9"/>
    <mergeCell ref="B1:R1"/>
    <mergeCell ref="B2:C2"/>
    <mergeCell ref="D2:R2"/>
    <mergeCell ref="D3:E3"/>
    <mergeCell ref="F3:R3"/>
    <mergeCell ref="D4:E4"/>
    <mergeCell ref="F4:R4"/>
    <mergeCell ref="F19:R19"/>
    <mergeCell ref="D15:E15"/>
    <mergeCell ref="H15:I15"/>
    <mergeCell ref="J15:L15"/>
    <mergeCell ref="M15:N15"/>
    <mergeCell ref="D16:E16"/>
    <mergeCell ref="F16:R16"/>
    <mergeCell ref="D23:E23"/>
    <mergeCell ref="F23:R23"/>
    <mergeCell ref="D24:E24"/>
    <mergeCell ref="F24:R24"/>
    <mergeCell ref="D25:E25"/>
    <mergeCell ref="F25:R25"/>
    <mergeCell ref="D20:E20"/>
    <mergeCell ref="F20:R20"/>
    <mergeCell ref="D21:E21"/>
    <mergeCell ref="F21:R21"/>
    <mergeCell ref="D22:E22"/>
    <mergeCell ref="F22:R22"/>
    <mergeCell ref="D31:E31"/>
    <mergeCell ref="F31:R31"/>
    <mergeCell ref="D32:E32"/>
    <mergeCell ref="F32:R32"/>
    <mergeCell ref="D33:E33"/>
    <mergeCell ref="F33:R33"/>
    <mergeCell ref="D28:E28"/>
    <mergeCell ref="F28:R28"/>
    <mergeCell ref="D29:E29"/>
    <mergeCell ref="F29:R29"/>
    <mergeCell ref="D30:E30"/>
    <mergeCell ref="F30:R30"/>
    <mergeCell ref="D37:E37"/>
    <mergeCell ref="F37:R37"/>
    <mergeCell ref="D38:E38"/>
    <mergeCell ref="F38:R38"/>
    <mergeCell ref="D39:E39"/>
    <mergeCell ref="F39:R39"/>
    <mergeCell ref="D34:E34"/>
    <mergeCell ref="F34:R34"/>
    <mergeCell ref="D35:E35"/>
    <mergeCell ref="F35:R35"/>
    <mergeCell ref="D36:E36"/>
    <mergeCell ref="F36:R36"/>
    <mergeCell ref="D43:E43"/>
    <mergeCell ref="F43:R43"/>
    <mergeCell ref="D44:E44"/>
    <mergeCell ref="F44:R44"/>
    <mergeCell ref="D45:E45"/>
    <mergeCell ref="F45:R45"/>
    <mergeCell ref="D40:E40"/>
    <mergeCell ref="F40:R40"/>
    <mergeCell ref="D41:E41"/>
    <mergeCell ref="F41:R41"/>
    <mergeCell ref="D42:E42"/>
    <mergeCell ref="F42:R42"/>
    <mergeCell ref="D49:E49"/>
    <mergeCell ref="F49:R49"/>
    <mergeCell ref="D50:E50"/>
    <mergeCell ref="F50:R50"/>
    <mergeCell ref="D51:E51"/>
    <mergeCell ref="F51:R51"/>
    <mergeCell ref="D46:E46"/>
    <mergeCell ref="F46:R46"/>
    <mergeCell ref="D47:E47"/>
    <mergeCell ref="F47:R47"/>
    <mergeCell ref="D48:E48"/>
    <mergeCell ref="F48:R48"/>
  </mergeCells>
  <phoneticPr fontId="0" type="noConversion"/>
  <dataValidations count="1">
    <dataValidation type="list" allowBlank="1" showErrorMessage="1" sqref="J15:L15">
      <formula1>Local_language</formula1>
      <formula2>0</formula2>
    </dataValidation>
  </dataValidation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59</vt:i4>
      </vt:variant>
    </vt:vector>
  </HeadingPairs>
  <TitlesOfParts>
    <vt:vector size="67" baseType="lpstr">
      <vt:lpstr>Liste Armée</vt:lpstr>
      <vt:lpstr>Données</vt:lpstr>
      <vt:lpstr>Traduction</vt:lpstr>
      <vt:lpstr>Read Me</vt:lpstr>
      <vt:lpstr>Francais - Evolutions</vt:lpstr>
      <vt:lpstr>English - Revisions</vt:lpstr>
      <vt:lpstr>Espanol - Revisions</vt:lpstr>
      <vt:lpstr>Deutsh- Revisions</vt:lpstr>
      <vt:lpstr>AllArmour</vt:lpstr>
      <vt:lpstr>AllQual</vt:lpstr>
      <vt:lpstr>AllTraining</vt:lpstr>
      <vt:lpstr>Ally</vt:lpstr>
      <vt:lpstr>Armure</vt:lpstr>
      <vt:lpstr>Attrition_Table</vt:lpstr>
      <vt:lpstr>AvQual</vt:lpstr>
      <vt:lpstr>BWGMiss</vt:lpstr>
      <vt:lpstr>BWGWpn</vt:lpstr>
      <vt:lpstr>camp</vt:lpstr>
      <vt:lpstr>CatArmr</vt:lpstr>
      <vt:lpstr>CatMiss</vt:lpstr>
      <vt:lpstr>CavArmr</vt:lpstr>
      <vt:lpstr>CavMiss</vt:lpstr>
      <vt:lpstr>CavWpn</vt:lpstr>
      <vt:lpstr>Charge</vt:lpstr>
      <vt:lpstr>ChWpn</vt:lpstr>
      <vt:lpstr>CmdCost</vt:lpstr>
      <vt:lpstr>Colonne_Tableau_listes</vt:lpstr>
      <vt:lpstr>colonnes_autobreack</vt:lpstr>
      <vt:lpstr>Colonnes_table_budget</vt:lpstr>
      <vt:lpstr>Combat</vt:lpstr>
      <vt:lpstr>Divers</vt:lpstr>
      <vt:lpstr>Drilled</vt:lpstr>
      <vt:lpstr>ElQual</vt:lpstr>
      <vt:lpstr>FootMiss</vt:lpstr>
      <vt:lpstr>footWpn</vt:lpstr>
      <vt:lpstr>impact</vt:lpstr>
      <vt:lpstr>KnArmr</vt:lpstr>
      <vt:lpstr>KnWpn</vt:lpstr>
      <vt:lpstr>Language_choices</vt:lpstr>
      <vt:lpstr>LHMiss</vt:lpstr>
      <vt:lpstr>livret</vt:lpstr>
      <vt:lpstr>Local_language</vt:lpstr>
      <vt:lpstr>Melée</vt:lpstr>
      <vt:lpstr>MobQual</vt:lpstr>
      <vt:lpstr>NoType</vt:lpstr>
      <vt:lpstr>ordre_de_marche</vt:lpstr>
      <vt:lpstr>'Liste Armée'!Print_Area</vt:lpstr>
      <vt:lpstr>Prix_commandant</vt:lpstr>
      <vt:lpstr>Quality</vt:lpstr>
      <vt:lpstr>Special</vt:lpstr>
      <vt:lpstr>Table_armes_impact</vt:lpstr>
      <vt:lpstr>Table_armes_melee</vt:lpstr>
      <vt:lpstr>Table_armes_tir</vt:lpstr>
      <vt:lpstr>Table_budget</vt:lpstr>
      <vt:lpstr>Table_budget_infanterie</vt:lpstr>
      <vt:lpstr>table_eclaireur</vt:lpstr>
      <vt:lpstr>table_general</vt:lpstr>
      <vt:lpstr>Table_special</vt:lpstr>
      <vt:lpstr>tableau_autobreack</vt:lpstr>
      <vt:lpstr>Tableau_listes</vt:lpstr>
      <vt:lpstr>Terrain</vt:lpstr>
      <vt:lpstr>Tir</vt:lpstr>
      <vt:lpstr>Training</vt:lpstr>
      <vt:lpstr>Type</vt:lpstr>
      <vt:lpstr>type_de_commandant</vt:lpstr>
      <vt:lpstr>Undrilled</vt:lpstr>
      <vt:lpstr>UserTable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</dc:creator>
  <cp:lastModifiedBy>Powell, Phil Mr (DIO Fin-IBS Proj4b)</cp:lastModifiedBy>
  <cp:lastPrinted>2017-09-14T10:37:54Z</cp:lastPrinted>
  <dcterms:created xsi:type="dcterms:W3CDTF">2006-12-28T19:47:32Z</dcterms:created>
  <dcterms:modified xsi:type="dcterms:W3CDTF">2017-10-12T06:38:34Z</dcterms:modified>
</cp:coreProperties>
</file>