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wellp105\Desktop\Lists\"/>
    </mc:Choice>
  </mc:AlternateContent>
  <xr:revisionPtr revIDLastSave="0" documentId="13_ncr:1_{21B5EBD1-E423-4308-8AB6-5DFC6E87C850}" xr6:coauthVersionLast="46" xr6:coauthVersionMax="46" xr10:uidLastSave="{00000000-0000-0000-0000-000000000000}"/>
  <bookViews>
    <workbookView showSheetTabs="0" xWindow="-110" yWindow="-110" windowWidth="19420" windowHeight="10420" tabRatio="689" xr2:uid="{00000000-000D-0000-FFFF-FFFF00000000}"/>
  </bookViews>
  <sheets>
    <sheet name="List" sheetId="1" r:id="rId1"/>
    <sheet name="Lookup" sheetId="4" state="veryHidden" r:id="rId2"/>
    <sheet name="Translate" sheetId="7" state="veryHidden" r:id="rId3"/>
  </sheets>
  <definedNames>
    <definedName name="_xlnm._FilterDatabase" localSheetId="0" hidden="1">List!$C$22:$L$61</definedName>
    <definedName name="AllArmour">Lookup!$Q$28:$Q$32</definedName>
    <definedName name="AllQual">Lookup!$Q$65:$Q$69</definedName>
    <definedName name="AllTraining">Lookup!$Q$71:$Q$73</definedName>
    <definedName name="Ally">Lookup!$H$86:$H$88</definedName>
    <definedName name="Armure">Lookup!$D$86:$D$90</definedName>
    <definedName name="Attrition_Table">Lookup!$AE$49:$AF$72</definedName>
    <definedName name="AvQual">Lookup!$Q$57:$Q$58</definedName>
    <definedName name="BWGMiss">Lookup!$R$49:$R$52</definedName>
    <definedName name="BWGWpn">Lookup!$R$90:$R$92</definedName>
    <definedName name="camp">Lookup!$I$86:$I$87</definedName>
    <definedName name="CampList">Lookup!$T$2:$T$3</definedName>
    <definedName name="CatArmr">Lookup!$Q$40:$Q$41</definedName>
    <definedName name="CatMiss">Lookup!$T$20:$T$22</definedName>
    <definedName name="CavArmr">Lookup!$Q$43:$Q$46</definedName>
    <definedName name="CavMiss">Lookup!$R$25:$R$30</definedName>
    <definedName name="CavWpn">Lookup!$R$61:$R$66</definedName>
    <definedName name="Charge">Lookup!$H$86:$H$93</definedName>
    <definedName name="ChWpn">Lookup!$R$69:$R$70</definedName>
    <definedName name="CmdCost">Lookup!$J$102:$K$104</definedName>
    <definedName name="Colonne_Tableau_listes">Lookup!$BP$2:$HJ$2</definedName>
    <definedName name="colonnes_autobreack">Lookup!$B$107:$L$107</definedName>
    <definedName name="Colonnes_table_budget">Lookup!$B$3:$H$3</definedName>
    <definedName name="Combat">Lookup!$Q$92:$Q$105</definedName>
    <definedName name="Divers">Lookup!$J$88:$J$90</definedName>
    <definedName name="Drilled">Lookup!$Q$71</definedName>
    <definedName name="ElQual">Lookup!$Q$51:$Q$54</definedName>
    <definedName name="FootMiss">Lookup!$R$39:$R$46</definedName>
    <definedName name="footWpn">Lookup!$R$72:$R$87</definedName>
    <definedName name="impact">Lookup!$J$22:$K$34</definedName>
    <definedName name="KnArmr">Lookup!$Q$35:$Q$37</definedName>
    <definedName name="KnWpn">Lookup!$R$55:$R$58</definedName>
    <definedName name="Language_choices">Translate!$1:$1</definedName>
    <definedName name="LHMiss">Lookup!$R$33:$R$36</definedName>
    <definedName name="livret">Lookup!$BP$3:$BP$16</definedName>
    <definedName name="Local_language">List!$L$12:$L$12</definedName>
    <definedName name="Melée">Lookup!$Q$1:$R$22</definedName>
    <definedName name="MobQual">Lookup!$Q$60:$Q$62</definedName>
    <definedName name="NoType">Lookup!$Q$25</definedName>
    <definedName name="ordre_de_marche">Lookup!$M$18:$N$56</definedName>
    <definedName name="_xlnm.Print_Area" localSheetId="0">OFFSET(List!$B$2,0,0,22+List!$B$2,16)</definedName>
    <definedName name="_xlnm.Print_Titles" localSheetId="0">List!$2:$22</definedName>
    <definedName name="Prix_commandant">Lookup!$J$97:$K$100</definedName>
    <definedName name="Quality">Lookup!$E$86:$E$90</definedName>
    <definedName name="ref_langue">MATCH(Local_language,Language_choices,FALSE)</definedName>
    <definedName name="ref_langue_6">MATCH(Local_language,Language_choices,FALSE)</definedName>
    <definedName name="Special">Lookup!$J$88:$J$90</definedName>
    <definedName name="Table_armes_impact">Lookup!$J$22:$K$33</definedName>
    <definedName name="Table_armes_melee">Lookup!$Q$1:$R$22</definedName>
    <definedName name="Table_armes_tir">Lookup!$J$4:$K$20</definedName>
    <definedName name="Table_budget">Lookup!$B$3:$H$37</definedName>
    <definedName name="Table_budget_infanterie">Lookup!$B$4:$G$7</definedName>
    <definedName name="table_eclaireur">Lookup!$M$13:$N$16</definedName>
    <definedName name="table_general">Lookup!$J$47:$K$51</definedName>
    <definedName name="Table_special">Lookup!$M$5:$N$6</definedName>
    <definedName name="tableau_autobreack">Lookup!$B$107:$L$112</definedName>
    <definedName name="Tableau_listes">Lookup!$BP$2:$HJ$16</definedName>
    <definedName name="Terrain">Lookup!$L$86:$L$94</definedName>
    <definedName name="Tir">Lookup!$G$86:$G$95</definedName>
    <definedName name="Training">Lookup!$F$86:$F$88</definedName>
    <definedName name="Type">Lookup!$C$86:$C$101</definedName>
    <definedName name="type_de_commandant">Lookup!$J$97:$J$100</definedName>
    <definedName name="Undrilled">Lookup!$Q$72</definedName>
    <definedName name="UserTable">List!$C$23:$L$61</definedName>
    <definedName name="YesNo">Lookup!$U$2:$U$3</definedName>
    <definedName name="Zone_Traduction">INDIRECT(Lookup!$B$1)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E22" i="1"/>
  <c r="D22" i="1"/>
  <c r="C22" i="1"/>
  <c r="M19" i="1"/>
  <c r="M18" i="1"/>
  <c r="T53" i="4"/>
  <c r="R74" i="4" l="1"/>
  <c r="G16" i="1"/>
  <c r="B2" i="1" l="1"/>
  <c r="B1" i="4" l="1"/>
  <c r="Q7" i="4"/>
  <c r="T57" i="4"/>
  <c r="R78" i="4" l="1"/>
  <c r="BK3" i="4"/>
  <c r="Q11" i="4"/>
  <c r="T54" i="4"/>
  <c r="Q8" i="4"/>
  <c r="T58" i="4"/>
  <c r="Q9" i="4"/>
  <c r="E15" i="1"/>
  <c r="R75" i="4" l="1"/>
  <c r="U16" i="1"/>
  <c r="U18" i="1"/>
  <c r="U19" i="1"/>
  <c r="U17" i="1"/>
  <c r="Q103" i="4" l="1"/>
  <c r="R84" i="4"/>
  <c r="O33" i="1" l="1"/>
  <c r="P47" i="1"/>
  <c r="BI37" i="4" s="1"/>
  <c r="P48" i="1"/>
  <c r="BI38" i="4" s="1"/>
  <c r="P49" i="1"/>
  <c r="BI39" i="4" s="1"/>
  <c r="P50" i="1"/>
  <c r="BI40" i="4" s="1"/>
  <c r="P51" i="1"/>
  <c r="BI41" i="4" s="1"/>
  <c r="P52" i="1"/>
  <c r="BI42" i="4" s="1"/>
  <c r="P53" i="1"/>
  <c r="BI43" i="4" s="1"/>
  <c r="P54" i="1"/>
  <c r="BI44" i="4" s="1"/>
  <c r="P55" i="1"/>
  <c r="BI45" i="4" s="1"/>
  <c r="P56" i="1"/>
  <c r="BI46" i="4" s="1"/>
  <c r="P57" i="1"/>
  <c r="BI47" i="4" s="1"/>
  <c r="P58" i="1"/>
  <c r="BI48" i="4" s="1"/>
  <c r="P59" i="1"/>
  <c r="BI49" i="4" s="1"/>
  <c r="P60" i="1"/>
  <c r="BI50" i="4" s="1"/>
  <c r="P61" i="1"/>
  <c r="BI51" i="4" s="1"/>
  <c r="S43" i="1" l="1"/>
  <c r="T43" i="1"/>
  <c r="W43" i="1"/>
  <c r="X43" i="1"/>
  <c r="O32" i="1"/>
  <c r="S41" i="1"/>
  <c r="T41" i="1"/>
  <c r="W41" i="1"/>
  <c r="X41" i="1"/>
  <c r="O47" i="1"/>
  <c r="S47" i="1"/>
  <c r="T47" i="1"/>
  <c r="W47" i="1"/>
  <c r="X47" i="1"/>
  <c r="O45" i="1"/>
  <c r="O46" i="1"/>
  <c r="O48" i="1"/>
  <c r="O49" i="1"/>
  <c r="O50" i="1"/>
  <c r="O51" i="1"/>
  <c r="O52" i="1"/>
  <c r="O53" i="1"/>
  <c r="S46" i="1"/>
  <c r="T46" i="1"/>
  <c r="W46" i="1"/>
  <c r="X46" i="1"/>
  <c r="S48" i="1"/>
  <c r="T48" i="1"/>
  <c r="W48" i="1"/>
  <c r="X48" i="1"/>
  <c r="S49" i="1"/>
  <c r="T49" i="1"/>
  <c r="W49" i="1"/>
  <c r="X49" i="1"/>
  <c r="S50" i="1"/>
  <c r="T50" i="1"/>
  <c r="W50" i="1"/>
  <c r="X50" i="1"/>
  <c r="S51" i="1"/>
  <c r="T51" i="1"/>
  <c r="W51" i="1"/>
  <c r="X51" i="1"/>
  <c r="S52" i="1"/>
  <c r="T52" i="1"/>
  <c r="W52" i="1"/>
  <c r="X52" i="1"/>
  <c r="S53" i="1"/>
  <c r="T53" i="1"/>
  <c r="W53" i="1"/>
  <c r="X53" i="1"/>
  <c r="O54" i="1"/>
  <c r="S54" i="1"/>
  <c r="T54" i="1"/>
  <c r="W54" i="1"/>
  <c r="X54" i="1"/>
  <c r="O24" i="1"/>
  <c r="S42" i="1"/>
  <c r="T42" i="1"/>
  <c r="W42" i="1"/>
  <c r="X42" i="1"/>
  <c r="O44" i="1"/>
  <c r="S44" i="1"/>
  <c r="T44" i="1"/>
  <c r="W44" i="1"/>
  <c r="X44" i="1"/>
  <c r="S45" i="1"/>
  <c r="T45" i="1"/>
  <c r="W45" i="1"/>
  <c r="X45" i="1"/>
  <c r="O55" i="1"/>
  <c r="S55" i="1"/>
  <c r="T55" i="1"/>
  <c r="W55" i="1"/>
  <c r="X55" i="1"/>
  <c r="O56" i="1"/>
  <c r="S56" i="1"/>
  <c r="T56" i="1"/>
  <c r="W56" i="1"/>
  <c r="X56" i="1"/>
  <c r="O31" i="1"/>
  <c r="S40" i="1"/>
  <c r="T40" i="1"/>
  <c r="W40" i="1"/>
  <c r="X40" i="1"/>
  <c r="O57" i="1"/>
  <c r="S57" i="1"/>
  <c r="T57" i="1"/>
  <c r="W57" i="1"/>
  <c r="X57" i="1"/>
  <c r="O58" i="1"/>
  <c r="S58" i="1"/>
  <c r="T58" i="1"/>
  <c r="W58" i="1"/>
  <c r="X58" i="1"/>
  <c r="O59" i="1"/>
  <c r="S59" i="1"/>
  <c r="T59" i="1"/>
  <c r="W59" i="1"/>
  <c r="X59" i="1"/>
  <c r="O60" i="1"/>
  <c r="S60" i="1"/>
  <c r="T60" i="1"/>
  <c r="W60" i="1"/>
  <c r="X60" i="1"/>
  <c r="O28" i="1"/>
  <c r="S35" i="1"/>
  <c r="T35" i="1"/>
  <c r="W35" i="1"/>
  <c r="X35" i="1"/>
  <c r="O43" i="1"/>
  <c r="O27" i="1"/>
  <c r="O25" i="1"/>
  <c r="O26" i="1"/>
  <c r="G18" i="1"/>
  <c r="W10" i="1"/>
  <c r="O37" i="1" l="1"/>
  <c r="O40" i="1"/>
  <c r="O42" i="1"/>
  <c r="O39" i="1"/>
  <c r="O41" i="1"/>
  <c r="O35" i="1"/>
  <c r="O36" i="1"/>
  <c r="O29" i="1"/>
  <c r="O30" i="1"/>
  <c r="O61" i="1"/>
  <c r="O38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61" i="1"/>
  <c r="T24" i="1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13" i="4"/>
  <c r="T23" i="1"/>
  <c r="V19" i="1"/>
  <c r="N19" i="1" s="1"/>
  <c r="V17" i="1"/>
  <c r="N17" i="1" s="1"/>
  <c r="V18" i="1"/>
  <c r="N18" i="1" s="1"/>
  <c r="V16" i="1"/>
  <c r="N16" i="1" s="1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S61" i="1"/>
  <c r="W61" i="1"/>
  <c r="X61" i="1"/>
  <c r="S24" i="1"/>
  <c r="S25" i="1"/>
  <c r="S26" i="1"/>
  <c r="S27" i="1"/>
  <c r="S28" i="1"/>
  <c r="S29" i="1"/>
  <c r="S30" i="1"/>
  <c r="S31" i="1"/>
  <c r="S32" i="1"/>
  <c r="S33" i="1"/>
  <c r="S34" i="1"/>
  <c r="S36" i="1"/>
  <c r="S37" i="1"/>
  <c r="S38" i="1"/>
  <c r="S39" i="1"/>
  <c r="S23" i="1"/>
  <c r="X39" i="1"/>
  <c r="W39" i="1"/>
  <c r="X38" i="1"/>
  <c r="W38" i="1"/>
  <c r="X37" i="1"/>
  <c r="W37" i="1"/>
  <c r="X36" i="1"/>
  <c r="W36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13" i="4"/>
  <c r="AG4" i="4"/>
  <c r="AR38" i="4"/>
  <c r="AS39" i="4"/>
  <c r="AT39" i="4"/>
  <c r="AU39" i="4"/>
  <c r="AT40" i="4"/>
  <c r="AU40" i="4"/>
  <c r="AU41" i="4"/>
  <c r="AV41" i="4"/>
  <c r="AV42" i="4"/>
  <c r="AW42" i="4"/>
  <c r="AW43" i="4"/>
  <c r="AX43" i="4"/>
  <c r="AX44" i="4"/>
  <c r="AY44" i="4"/>
  <c r="AY45" i="4"/>
  <c r="AZ45" i="4"/>
  <c r="AZ46" i="4"/>
  <c r="BA46" i="4"/>
  <c r="BB46" i="4"/>
  <c r="BA47" i="4"/>
  <c r="BB47" i="4"/>
  <c r="BB48" i="4"/>
  <c r="BC48" i="4"/>
  <c r="AQ37" i="4"/>
  <c r="AR37" i="4"/>
  <c r="AS37" i="4"/>
  <c r="AT37" i="4"/>
  <c r="AP36" i="4"/>
  <c r="AQ36" i="4"/>
  <c r="AR36" i="4"/>
  <c r="AS36" i="4"/>
  <c r="AO35" i="4"/>
  <c r="AP35" i="4"/>
  <c r="AQ35" i="4"/>
  <c r="AR35" i="4"/>
  <c r="AN34" i="4"/>
  <c r="AO34" i="4"/>
  <c r="AP34" i="4"/>
  <c r="AM33" i="4"/>
  <c r="AN33" i="4"/>
  <c r="AL32" i="4"/>
  <c r="AM32" i="4"/>
  <c r="AN32" i="4"/>
  <c r="AO32" i="4"/>
  <c r="AP32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AG52" i="4"/>
  <c r="AF52" i="4" s="1"/>
  <c r="AH18" i="4"/>
  <c r="AH66" i="4"/>
  <c r="AI18" i="4"/>
  <c r="AI66" i="4"/>
  <c r="AJ18" i="4"/>
  <c r="AJ66" i="4"/>
  <c r="AK18" i="4"/>
  <c r="AK66" i="4"/>
  <c r="AL18" i="4"/>
  <c r="AL66" i="4"/>
  <c r="AM18" i="4"/>
  <c r="AM66" i="4"/>
  <c r="AN18" i="4"/>
  <c r="AN66" i="4"/>
  <c r="AO18" i="4"/>
  <c r="AO66" i="4"/>
  <c r="AP18" i="4"/>
  <c r="AP66" i="4"/>
  <c r="AQ18" i="4"/>
  <c r="AQ66" i="4"/>
  <c r="AR18" i="4"/>
  <c r="AR66" i="4"/>
  <c r="AS18" i="4"/>
  <c r="AS66" i="4"/>
  <c r="AT18" i="4"/>
  <c r="AT66" i="4"/>
  <c r="AU18" i="4"/>
  <c r="AU66" i="4"/>
  <c r="AH19" i="4"/>
  <c r="AH67" i="4"/>
  <c r="AI19" i="4"/>
  <c r="AI67" i="4"/>
  <c r="AJ19" i="4"/>
  <c r="AJ67" i="4"/>
  <c r="AK19" i="4"/>
  <c r="AK67" i="4"/>
  <c r="AL19" i="4"/>
  <c r="AL67" i="4"/>
  <c r="AM19" i="4"/>
  <c r="AM67" i="4"/>
  <c r="AN19" i="4"/>
  <c r="AN67" i="4"/>
  <c r="AO19" i="4"/>
  <c r="AO67" i="4"/>
  <c r="AP19" i="4"/>
  <c r="AP67" i="4"/>
  <c r="AQ19" i="4"/>
  <c r="AQ67" i="4"/>
  <c r="AR19" i="4"/>
  <c r="AR67" i="4"/>
  <c r="AS19" i="4"/>
  <c r="AS67" i="4"/>
  <c r="AT19" i="4"/>
  <c r="AT67" i="4"/>
  <c r="AU19" i="4"/>
  <c r="AU67" i="4"/>
  <c r="AV19" i="4"/>
  <c r="AV67" i="4"/>
  <c r="AH20" i="4"/>
  <c r="AH68" i="4"/>
  <c r="AI20" i="4"/>
  <c r="AI68" i="4"/>
  <c r="AJ20" i="4"/>
  <c r="AJ68" i="4"/>
  <c r="AK20" i="4"/>
  <c r="AK68" i="4"/>
  <c r="AL20" i="4"/>
  <c r="AL68" i="4"/>
  <c r="AM20" i="4"/>
  <c r="AM68" i="4"/>
  <c r="AN20" i="4"/>
  <c r="AN68" i="4"/>
  <c r="AO20" i="4"/>
  <c r="AO68" i="4"/>
  <c r="AP20" i="4"/>
  <c r="AP68" i="4"/>
  <c r="AQ20" i="4"/>
  <c r="AQ68" i="4"/>
  <c r="AR20" i="4"/>
  <c r="AR68" i="4"/>
  <c r="AS20" i="4"/>
  <c r="AS68" i="4"/>
  <c r="AT20" i="4"/>
  <c r="AT68" i="4"/>
  <c r="AU20" i="4"/>
  <c r="AU68" i="4"/>
  <c r="AV20" i="4"/>
  <c r="AV68" i="4"/>
  <c r="AW20" i="4"/>
  <c r="AW68" i="4"/>
  <c r="AH21" i="4"/>
  <c r="AH69" i="4"/>
  <c r="AI21" i="4"/>
  <c r="AI69" i="4"/>
  <c r="AJ21" i="4"/>
  <c r="AJ69" i="4"/>
  <c r="AK21" i="4"/>
  <c r="AK69" i="4"/>
  <c r="AL21" i="4"/>
  <c r="AL69" i="4"/>
  <c r="AM21" i="4"/>
  <c r="AM69" i="4"/>
  <c r="AN21" i="4"/>
  <c r="AN69" i="4"/>
  <c r="AO21" i="4"/>
  <c r="AO69" i="4"/>
  <c r="AP21" i="4"/>
  <c r="AP69" i="4"/>
  <c r="AQ21" i="4"/>
  <c r="AQ69" i="4"/>
  <c r="AR21" i="4"/>
  <c r="AR69" i="4"/>
  <c r="AS21" i="4"/>
  <c r="AS69" i="4"/>
  <c r="AT21" i="4"/>
  <c r="AT69" i="4"/>
  <c r="AU21" i="4"/>
  <c r="AU69" i="4"/>
  <c r="AV21" i="4"/>
  <c r="AV69" i="4"/>
  <c r="AW21" i="4"/>
  <c r="AW69" i="4"/>
  <c r="AX21" i="4"/>
  <c r="AX69" i="4"/>
  <c r="AH22" i="4"/>
  <c r="AH70" i="4"/>
  <c r="AI22" i="4"/>
  <c r="AI70" i="4"/>
  <c r="AJ22" i="4"/>
  <c r="AJ70" i="4"/>
  <c r="AG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H23" i="4"/>
  <c r="AH71" i="4"/>
  <c r="AI23" i="4"/>
  <c r="AI71" i="4"/>
  <c r="AJ23" i="4"/>
  <c r="AJ71" i="4"/>
  <c r="AG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AH24" i="4"/>
  <c r="AH72" i="4"/>
  <c r="AI24" i="4"/>
  <c r="AI72" i="4"/>
  <c r="AG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AH17" i="4"/>
  <c r="AH65" i="4"/>
  <c r="AI17" i="4"/>
  <c r="AI65" i="4"/>
  <c r="AJ17" i="4"/>
  <c r="AJ65" i="4"/>
  <c r="AK17" i="4"/>
  <c r="AK65" i="4"/>
  <c r="AL17" i="4"/>
  <c r="AL65" i="4"/>
  <c r="AM17" i="4"/>
  <c r="AM65" i="4"/>
  <c r="AN17" i="4"/>
  <c r="AN65" i="4"/>
  <c r="AO17" i="4"/>
  <c r="AO65" i="4"/>
  <c r="AP17" i="4"/>
  <c r="AP65" i="4"/>
  <c r="AQ17" i="4"/>
  <c r="AQ65" i="4"/>
  <c r="AR17" i="4"/>
  <c r="AR65" i="4"/>
  <c r="AS17" i="4"/>
  <c r="AS65" i="4"/>
  <c r="AT17" i="4"/>
  <c r="AT65" i="4"/>
  <c r="AH16" i="4"/>
  <c r="AH64" i="4"/>
  <c r="AI16" i="4"/>
  <c r="AI64" i="4"/>
  <c r="AG64" i="4"/>
  <c r="AJ64" i="4"/>
  <c r="AK64" i="4"/>
  <c r="AL64" i="4"/>
  <c r="AM64" i="4"/>
  <c r="AN64" i="4"/>
  <c r="AO64" i="4"/>
  <c r="AP64" i="4"/>
  <c r="AQ64" i="4"/>
  <c r="AR64" i="4"/>
  <c r="AS64" i="4"/>
  <c r="AJ16" i="4"/>
  <c r="AK16" i="4"/>
  <c r="AL16" i="4"/>
  <c r="AM16" i="4"/>
  <c r="AN16" i="4"/>
  <c r="AO16" i="4"/>
  <c r="AP16" i="4"/>
  <c r="AQ16" i="4"/>
  <c r="AR16" i="4"/>
  <c r="AS16" i="4"/>
  <c r="AH15" i="4"/>
  <c r="AH63" i="4"/>
  <c r="AI15" i="4"/>
  <c r="AI63" i="4"/>
  <c r="AG63" i="4"/>
  <c r="AJ63" i="4"/>
  <c r="AK63" i="4"/>
  <c r="AL63" i="4"/>
  <c r="AM63" i="4"/>
  <c r="AN63" i="4"/>
  <c r="AO63" i="4"/>
  <c r="AP63" i="4"/>
  <c r="AQ63" i="4"/>
  <c r="AR63" i="4"/>
  <c r="AJ15" i="4"/>
  <c r="AK15" i="4"/>
  <c r="AL15" i="4"/>
  <c r="AM15" i="4"/>
  <c r="AN15" i="4"/>
  <c r="AO15" i="4"/>
  <c r="AP15" i="4"/>
  <c r="AQ15" i="4"/>
  <c r="AR15" i="4"/>
  <c r="AH14" i="4"/>
  <c r="AH62" i="4"/>
  <c r="AI14" i="4"/>
  <c r="AI62" i="4"/>
  <c r="AJ14" i="4"/>
  <c r="AJ62" i="4"/>
  <c r="AK14" i="4"/>
  <c r="AK62" i="4"/>
  <c r="AL14" i="4"/>
  <c r="AL62" i="4"/>
  <c r="AM14" i="4"/>
  <c r="AM62" i="4"/>
  <c r="AN14" i="4"/>
  <c r="AN62" i="4"/>
  <c r="AO14" i="4"/>
  <c r="AO62" i="4"/>
  <c r="AP14" i="4"/>
  <c r="AP62" i="4"/>
  <c r="AQ14" i="4"/>
  <c r="AQ62" i="4"/>
  <c r="AM10" i="4"/>
  <c r="AM58" i="4"/>
  <c r="AH11" i="4"/>
  <c r="AH35" i="4" s="1"/>
  <c r="AH59" i="4" s="1"/>
  <c r="AI11" i="4"/>
  <c r="AI59" i="4"/>
  <c r="AJ11" i="4"/>
  <c r="AJ59" i="4"/>
  <c r="AK11" i="4"/>
  <c r="AK59" i="4"/>
  <c r="AL11" i="4"/>
  <c r="AL59" i="4"/>
  <c r="AM11" i="4"/>
  <c r="AM59" i="4"/>
  <c r="AN11" i="4"/>
  <c r="AN59" i="4"/>
  <c r="AH10" i="4"/>
  <c r="AH34" i="4" s="1"/>
  <c r="AH58" i="4" s="1"/>
  <c r="AI10" i="4"/>
  <c r="AI58" i="4"/>
  <c r="AJ10" i="4"/>
  <c r="AJ58" i="4"/>
  <c r="AK10" i="4"/>
  <c r="AK58" i="4"/>
  <c r="AL10" i="4"/>
  <c r="AL58" i="4"/>
  <c r="AH9" i="4"/>
  <c r="AH57" i="4"/>
  <c r="AI9" i="4"/>
  <c r="AI57" i="4"/>
  <c r="AJ9" i="4"/>
  <c r="AJ57" i="4"/>
  <c r="AK9" i="4"/>
  <c r="AK57" i="4"/>
  <c r="AL9" i="4"/>
  <c r="AL57" i="4"/>
  <c r="AH8" i="4"/>
  <c r="AH56" i="4"/>
  <c r="AI8" i="4"/>
  <c r="AI56" i="4"/>
  <c r="AJ8" i="4"/>
  <c r="AJ56" i="4"/>
  <c r="AK8" i="4"/>
  <c r="AK56" i="4"/>
  <c r="AH7" i="4"/>
  <c r="AH55" i="4"/>
  <c r="AI7" i="4"/>
  <c r="AI55" i="4"/>
  <c r="AJ7" i="4"/>
  <c r="AJ55" i="4"/>
  <c r="AH6" i="4"/>
  <c r="AH54" i="4"/>
  <c r="AI6" i="4"/>
  <c r="AI54" i="4"/>
  <c r="AH5" i="4"/>
  <c r="AH53" i="4"/>
  <c r="AG5" i="4"/>
  <c r="AG53" i="4"/>
  <c r="AG6" i="4"/>
  <c r="AG54" i="4"/>
  <c r="AG7" i="4"/>
  <c r="AG55" i="4"/>
  <c r="AG8" i="4"/>
  <c r="AG56" i="4"/>
  <c r="AG9" i="4"/>
  <c r="AG57" i="4"/>
  <c r="AG10" i="4"/>
  <c r="AG34" i="4" s="1"/>
  <c r="AG58" i="4" s="1"/>
  <c r="AG11" i="4"/>
  <c r="AG35" i="4" s="1"/>
  <c r="AG59" i="4" s="1"/>
  <c r="AH25" i="4"/>
  <c r="AH73" i="4"/>
  <c r="AI25" i="4"/>
  <c r="AI73" i="4"/>
  <c r="AJ25" i="4"/>
  <c r="AJ73" i="4"/>
  <c r="AK25" i="4"/>
  <c r="AK73" i="4"/>
  <c r="AL25" i="4"/>
  <c r="AL73" i="4"/>
  <c r="AM25" i="4"/>
  <c r="AM73" i="4"/>
  <c r="AN25" i="4"/>
  <c r="AN73" i="4"/>
  <c r="AO25" i="4"/>
  <c r="AO73" i="4"/>
  <c r="AP25" i="4"/>
  <c r="AP73" i="4"/>
  <c r="AQ25" i="4"/>
  <c r="AQ73" i="4"/>
  <c r="AR25" i="4"/>
  <c r="AR73" i="4"/>
  <c r="AS25" i="4"/>
  <c r="AS73" i="4"/>
  <c r="AT25" i="4"/>
  <c r="AT73" i="4"/>
  <c r="AU25" i="4"/>
  <c r="AU73" i="4"/>
  <c r="AV25" i="4"/>
  <c r="AV73" i="4"/>
  <c r="AW25" i="4"/>
  <c r="AW73" i="4"/>
  <c r="AX25" i="4"/>
  <c r="AX73" i="4"/>
  <c r="AY25" i="4"/>
  <c r="AY73" i="4"/>
  <c r="AZ25" i="4"/>
  <c r="AZ73" i="4"/>
  <c r="BA25" i="4"/>
  <c r="BA73" i="4"/>
  <c r="BB25" i="4"/>
  <c r="BB73" i="4"/>
  <c r="AG14" i="4"/>
  <c r="AG62" i="4"/>
  <c r="AG15" i="4"/>
  <c r="AG16" i="4"/>
  <c r="AG17" i="4"/>
  <c r="AG65" i="4"/>
  <c r="AG18" i="4"/>
  <c r="AG66" i="4"/>
  <c r="AG19" i="4"/>
  <c r="AG67" i="4"/>
  <c r="AG20" i="4"/>
  <c r="AG68" i="4"/>
  <c r="AG21" i="4"/>
  <c r="AG69" i="4"/>
  <c r="AG22" i="4"/>
  <c r="AG23" i="4"/>
  <c r="AG24" i="4"/>
  <c r="AG25" i="4"/>
  <c r="AG73" i="4"/>
  <c r="AH13" i="4"/>
  <c r="AH61" i="4"/>
  <c r="AI13" i="4"/>
  <c r="AI61" i="4"/>
  <c r="AJ13" i="4"/>
  <c r="AJ61" i="4"/>
  <c r="AK13" i="4"/>
  <c r="AK61" i="4"/>
  <c r="AL13" i="4"/>
  <c r="AL61" i="4"/>
  <c r="AM13" i="4"/>
  <c r="AM61" i="4"/>
  <c r="AN13" i="4"/>
  <c r="AN61" i="4"/>
  <c r="AO13" i="4"/>
  <c r="AO61" i="4"/>
  <c r="AP13" i="4"/>
  <c r="AP61" i="4"/>
  <c r="AG13" i="4"/>
  <c r="AG37" i="4" s="1"/>
  <c r="AG61" i="4" s="1"/>
  <c r="AG12" i="4"/>
  <c r="AG36" i="4" s="1"/>
  <c r="AG60" i="4" s="1"/>
  <c r="AH60" i="4"/>
  <c r="AI60" i="4"/>
  <c r="AJ60" i="4"/>
  <c r="AK60" i="4"/>
  <c r="AL60" i="4"/>
  <c r="AM60" i="4"/>
  <c r="AN60" i="4"/>
  <c r="AO60" i="4"/>
  <c r="AH12" i="4"/>
  <c r="AI12" i="4"/>
  <c r="AJ12" i="4"/>
  <c r="AK12" i="4"/>
  <c r="AL12" i="4"/>
  <c r="AM12" i="4"/>
  <c r="AN12" i="4"/>
  <c r="AO12" i="4"/>
  <c r="B53" i="4"/>
  <c r="B54" i="4"/>
  <c r="B55" i="4"/>
  <c r="B56" i="4"/>
  <c r="B57" i="4"/>
  <c r="B58" i="4"/>
  <c r="B59" i="4"/>
  <c r="B60" i="4"/>
  <c r="B61" i="4"/>
  <c r="B63" i="4"/>
  <c r="B64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65" i="4"/>
  <c r="B62" i="4"/>
  <c r="O34" i="1"/>
  <c r="BM5" i="4"/>
  <c r="AF56" i="4" l="1"/>
  <c r="AF69" i="4"/>
  <c r="AF67" i="4"/>
  <c r="AF61" i="4"/>
  <c r="AF62" i="4"/>
  <c r="AF57" i="4"/>
  <c r="BN8" i="4"/>
  <c r="BN7" i="4" s="1"/>
  <c r="BM6" i="4" s="1"/>
  <c r="L8" i="1" s="1"/>
  <c r="AF73" i="4"/>
  <c r="AF59" i="4"/>
  <c r="AF68" i="4"/>
  <c r="AF66" i="4"/>
  <c r="AF60" i="4"/>
  <c r="AF58" i="4"/>
  <c r="AF70" i="4"/>
  <c r="AF63" i="4"/>
  <c r="AF72" i="4"/>
  <c r="AF65" i="4"/>
  <c r="AF64" i="4"/>
  <c r="AF71" i="4"/>
  <c r="R79" i="4" l="1"/>
  <c r="Q99" i="4"/>
  <c r="P46" i="1" l="1"/>
  <c r="BI36" i="4" s="1"/>
  <c r="P45" i="1"/>
  <c r="BI35" i="4" s="1"/>
  <c r="M5" i="4"/>
  <c r="T31" i="4"/>
  <c r="Q2" i="4"/>
  <c r="B18" i="4"/>
  <c r="O21" i="1"/>
  <c r="J89" i="4"/>
  <c r="L88" i="4"/>
  <c r="E89" i="4"/>
  <c r="B11" i="4"/>
  <c r="Q21" i="4"/>
  <c r="Q14" i="4"/>
  <c r="J7" i="4"/>
  <c r="C18" i="1"/>
  <c r="B14" i="4"/>
  <c r="B20" i="4"/>
  <c r="M22" i="1"/>
  <c r="B26" i="4"/>
  <c r="J9" i="4"/>
  <c r="D7" i="1"/>
  <c r="E88" i="4"/>
  <c r="T48" i="4"/>
  <c r="K22" i="1"/>
  <c r="L15" i="1"/>
  <c r="H15" i="1"/>
  <c r="T34" i="4"/>
  <c r="G9" i="1"/>
  <c r="I87" i="4"/>
  <c r="G22" i="1"/>
  <c r="T46" i="4"/>
  <c r="T56" i="4"/>
  <c r="Q13" i="4"/>
  <c r="G7" i="1"/>
  <c r="J15" i="4"/>
  <c r="J22" i="1"/>
  <c r="E86" i="4"/>
  <c r="J10" i="4"/>
  <c r="D11" i="1"/>
  <c r="T33" i="4"/>
  <c r="C14" i="1"/>
  <c r="G15" i="1"/>
  <c r="T28" i="4"/>
  <c r="Q5" i="4"/>
  <c r="J8" i="4"/>
  <c r="T35" i="4"/>
  <c r="J23" i="4"/>
  <c r="B22" i="4"/>
  <c r="D9" i="1"/>
  <c r="G89" i="4"/>
  <c r="G88" i="4"/>
  <c r="J5" i="1"/>
  <c r="N15" i="1"/>
  <c r="B10" i="4"/>
  <c r="Q22" i="4"/>
  <c r="B111" i="4"/>
  <c r="J17" i="4"/>
  <c r="D89" i="4"/>
  <c r="E3" i="4"/>
  <c r="T49" i="4"/>
  <c r="J7" i="1"/>
  <c r="I21" i="1"/>
  <c r="Q68" i="4"/>
  <c r="G91" i="4"/>
  <c r="Q17" i="4"/>
  <c r="Q18" i="4"/>
  <c r="J18" i="4"/>
  <c r="B6" i="4"/>
  <c r="B15" i="4"/>
  <c r="T3" i="4"/>
  <c r="L93" i="4"/>
  <c r="Q28" i="4"/>
  <c r="Q12" i="4"/>
  <c r="B12" i="4"/>
  <c r="G93" i="4"/>
  <c r="B110" i="4"/>
  <c r="B16" i="4"/>
  <c r="L5" i="1"/>
  <c r="B21" i="4"/>
  <c r="H14" i="1"/>
  <c r="T59" i="4"/>
  <c r="G90" i="4"/>
  <c r="Q20" i="4"/>
  <c r="L87" i="4"/>
  <c r="Q65" i="4"/>
  <c r="G87" i="4"/>
  <c r="L90" i="4"/>
  <c r="D86" i="4"/>
  <c r="F3" i="4"/>
  <c r="M21" i="1"/>
  <c r="J27" i="4"/>
  <c r="J24" i="4"/>
  <c r="F86" i="4"/>
  <c r="Q71" i="4"/>
  <c r="B9" i="4"/>
  <c r="J90" i="4"/>
  <c r="L94" i="4"/>
  <c r="Q66" i="4"/>
  <c r="L4" i="1"/>
  <c r="B23" i="4"/>
  <c r="E21" i="1"/>
  <c r="M6" i="4"/>
  <c r="L91" i="4"/>
  <c r="T27" i="4"/>
  <c r="J14" i="4"/>
  <c r="T30" i="4"/>
  <c r="J25" i="4"/>
  <c r="J6" i="4"/>
  <c r="B13" i="4"/>
  <c r="Q6" i="4"/>
  <c r="F15" i="1"/>
  <c r="Q10" i="4"/>
  <c r="F87" i="4"/>
  <c r="G4" i="1"/>
  <c r="J12" i="4"/>
  <c r="L89" i="4"/>
  <c r="B4" i="4"/>
  <c r="C3" i="4"/>
  <c r="G95" i="4"/>
  <c r="D5" i="1"/>
  <c r="J31" i="4"/>
  <c r="L92" i="4"/>
  <c r="J33" i="4"/>
  <c r="B24" i="4"/>
  <c r="T61" i="4"/>
  <c r="G5" i="1"/>
  <c r="T55" i="4"/>
  <c r="G94" i="4"/>
  <c r="Q16" i="4"/>
  <c r="T51" i="4"/>
  <c r="D3" i="4"/>
  <c r="E87" i="4"/>
  <c r="D4" i="1"/>
  <c r="B5" i="4"/>
  <c r="J15" i="1"/>
  <c r="Q19" i="4"/>
  <c r="J32" i="4"/>
  <c r="J28" i="4"/>
  <c r="C20" i="1"/>
  <c r="J5" i="4"/>
  <c r="D87" i="4"/>
  <c r="P22" i="1"/>
  <c r="T52" i="4"/>
  <c r="C15" i="1"/>
  <c r="J20" i="4"/>
  <c r="I86" i="4"/>
  <c r="J26" i="4"/>
  <c r="J16" i="4"/>
  <c r="J11" i="4"/>
  <c r="B8" i="4"/>
  <c r="B108" i="4"/>
  <c r="T50" i="4"/>
  <c r="Q29" i="4"/>
  <c r="B7" i="4"/>
  <c r="G92" i="4"/>
  <c r="Q31" i="4"/>
  <c r="T29" i="4"/>
  <c r="J19" i="4"/>
  <c r="B109" i="4"/>
  <c r="F22" i="1"/>
  <c r="T2" i="4"/>
  <c r="B34" i="4"/>
  <c r="H22" i="1"/>
  <c r="I22" i="1"/>
  <c r="J30" i="4"/>
  <c r="T32" i="4"/>
  <c r="Q72" i="4"/>
  <c r="T60" i="4"/>
  <c r="M15" i="1"/>
  <c r="G3" i="4"/>
  <c r="Q67" i="4"/>
  <c r="Q30" i="4"/>
  <c r="G11" i="1"/>
  <c r="T47" i="4"/>
  <c r="D88" i="4"/>
  <c r="B17" i="4"/>
  <c r="L7" i="1"/>
  <c r="Q4" i="4"/>
  <c r="L11" i="1"/>
  <c r="B25" i="4"/>
  <c r="N22" i="1"/>
  <c r="P44" i="1" l="1"/>
  <c r="BI34" i="4" s="1"/>
  <c r="P43" i="1"/>
  <c r="BI33" i="4" s="1"/>
  <c r="P42" i="1"/>
  <c r="BI32" i="4" s="1"/>
  <c r="P41" i="1"/>
  <c r="BI31" i="4" s="1"/>
  <c r="P40" i="1"/>
  <c r="BI30" i="4" s="1"/>
  <c r="P39" i="1"/>
  <c r="BI29" i="4" s="1"/>
  <c r="P38" i="1"/>
  <c r="BI28" i="4" s="1"/>
  <c r="P29" i="1"/>
  <c r="BI19" i="4" s="1"/>
  <c r="P27" i="1"/>
  <c r="BI17" i="4" s="1"/>
  <c r="P25" i="1"/>
  <c r="BI15" i="4" s="1"/>
  <c r="P24" i="1"/>
  <c r="BI14" i="4" s="1"/>
  <c r="P37" i="1"/>
  <c r="BI27" i="4" s="1"/>
  <c r="P30" i="1"/>
  <c r="BI20" i="4" s="1"/>
  <c r="P36" i="1"/>
  <c r="BI26" i="4" s="1"/>
  <c r="P35" i="1"/>
  <c r="BI25" i="4" s="1"/>
  <c r="P34" i="1"/>
  <c r="BI24" i="4" s="1"/>
  <c r="P33" i="1"/>
  <c r="BI23" i="4" s="1"/>
  <c r="P31" i="1"/>
  <c r="BI21" i="4" s="1"/>
  <c r="P32" i="1"/>
  <c r="BI22" i="4" s="1"/>
  <c r="P28" i="1"/>
  <c r="BI18" i="4" s="1"/>
  <c r="P26" i="1"/>
  <c r="BI16" i="4" s="1"/>
  <c r="O23" i="1"/>
  <c r="Q51" i="4"/>
  <c r="Q104" i="4"/>
  <c r="R85" i="4"/>
  <c r="Q61" i="4"/>
  <c r="Q53" i="4"/>
  <c r="R73" i="4"/>
  <c r="Q94" i="4"/>
  <c r="R90" i="4"/>
  <c r="R64" i="4"/>
  <c r="R81" i="4"/>
  <c r="R69" i="4"/>
  <c r="Q98" i="4"/>
  <c r="R43" i="4"/>
  <c r="R34" i="4"/>
  <c r="P23" i="1"/>
  <c r="BI13" i="4" s="1"/>
  <c r="Q97" i="4"/>
  <c r="R55" i="4"/>
  <c r="R61" i="4"/>
  <c r="R72" i="4"/>
  <c r="Q93" i="4"/>
  <c r="R63" i="4"/>
  <c r="R56" i="4"/>
  <c r="Q57" i="4"/>
  <c r="Q52" i="4"/>
  <c r="Q60" i="4"/>
  <c r="Q35" i="4"/>
  <c r="Q40" i="4"/>
  <c r="R25" i="4"/>
  <c r="R33" i="4"/>
  <c r="T21" i="4"/>
  <c r="R49" i="4"/>
  <c r="R39" i="4"/>
  <c r="R65" i="4"/>
  <c r="Q105" i="4"/>
  <c r="R86" i="4"/>
  <c r="R57" i="4"/>
  <c r="Q101" i="4"/>
  <c r="R82" i="4"/>
  <c r="Q36" i="4"/>
  <c r="Q43" i="4"/>
  <c r="Q44" i="4"/>
  <c r="R62" i="4"/>
  <c r="Q100" i="4"/>
  <c r="R80" i="4"/>
  <c r="R51" i="4"/>
  <c r="R44" i="4"/>
  <c r="B52" i="4"/>
  <c r="Q102" i="4"/>
  <c r="R83" i="4"/>
  <c r="R41" i="4"/>
  <c r="Q45" i="4"/>
  <c r="R28" i="4"/>
  <c r="R45" i="4"/>
  <c r="R35" i="4"/>
  <c r="R27" i="4"/>
  <c r="R50" i="4"/>
  <c r="R42" i="4"/>
  <c r="R76" i="4"/>
  <c r="Q95" i="4"/>
  <c r="R26" i="4"/>
  <c r="R40" i="4"/>
  <c r="T20" i="4"/>
  <c r="R77" i="4"/>
  <c r="Q96" i="4"/>
  <c r="BK18" i="4"/>
  <c r="BK29" i="4"/>
  <c r="U39" i="1"/>
  <c r="U61" i="1"/>
  <c r="BK41" i="4"/>
  <c r="U47" i="1"/>
  <c r="U26" i="1"/>
  <c r="BK34" i="4"/>
  <c r="BK37" i="4"/>
  <c r="BK31" i="4"/>
  <c r="BK19" i="4"/>
  <c r="BK24" i="4"/>
  <c r="BK46" i="4"/>
  <c r="U34" i="1"/>
  <c r="U53" i="1"/>
  <c r="C52" i="4"/>
  <c r="U31" i="1"/>
  <c r="BK22" i="4"/>
  <c r="BK17" i="4"/>
  <c r="BK42" i="4"/>
  <c r="BK50" i="4"/>
  <c r="BK40" i="4"/>
  <c r="BK39" i="4"/>
  <c r="U36" i="1"/>
  <c r="BK23" i="4"/>
  <c r="BK14" i="4"/>
  <c r="U27" i="1"/>
  <c r="BK43" i="4"/>
  <c r="BK33" i="4"/>
  <c r="BK51" i="4"/>
  <c r="BK21" i="4"/>
  <c r="BK25" i="4"/>
  <c r="U30" i="1"/>
  <c r="BK44" i="4"/>
  <c r="U56" i="1"/>
  <c r="U33" i="1"/>
  <c r="U54" i="1"/>
  <c r="U29" i="1"/>
  <c r="U58" i="1"/>
  <c r="U59" i="1"/>
  <c r="U49" i="1"/>
  <c r="U37" i="1"/>
  <c r="BK32" i="4"/>
  <c r="BK26" i="4"/>
  <c r="U55" i="1"/>
  <c r="U44" i="1"/>
  <c r="U52" i="1"/>
  <c r="U38" i="1"/>
  <c r="BK15" i="4"/>
  <c r="U25" i="1"/>
  <c r="U42" i="1"/>
  <c r="BK27" i="4"/>
  <c r="U60" i="1"/>
  <c r="BK49" i="4"/>
  <c r="BK38" i="4"/>
  <c r="U28" i="1"/>
  <c r="BK35" i="4"/>
  <c r="U57" i="1"/>
  <c r="BK20" i="4"/>
  <c r="U24" i="1"/>
  <c r="BK30" i="4"/>
  <c r="U45" i="1"/>
  <c r="BK47" i="4"/>
  <c r="U40" i="1"/>
  <c r="BK13" i="4"/>
  <c r="U46" i="1"/>
  <c r="U51" i="1"/>
  <c r="BK36" i="4"/>
  <c r="BK48" i="4"/>
  <c r="U35" i="1"/>
  <c r="U48" i="1"/>
  <c r="U32" i="1"/>
  <c r="U50" i="1"/>
  <c r="BK28" i="4"/>
  <c r="U23" i="1"/>
  <c r="U41" i="1"/>
  <c r="BK45" i="4"/>
  <c r="U43" i="1"/>
  <c r="BK16" i="4"/>
  <c r="BI6" i="4" l="1"/>
  <c r="BL7" i="4"/>
  <c r="M10" i="1" s="1"/>
  <c r="N10" i="1" s="1"/>
  <c r="M32" i="1"/>
  <c r="BL22" i="4" s="1"/>
  <c r="M53" i="1"/>
  <c r="N53" i="1" s="1"/>
  <c r="M61" i="1"/>
  <c r="N61" i="1" s="1"/>
  <c r="M51" i="1"/>
  <c r="V51" i="1" s="1"/>
  <c r="M60" i="1"/>
  <c r="BL50" i="4" s="1"/>
  <c r="M56" i="1"/>
  <c r="V56" i="1" s="1"/>
  <c r="M38" i="1"/>
  <c r="BL28" i="4" s="1"/>
  <c r="M33" i="1"/>
  <c r="V33" i="1" s="1"/>
  <c r="M57" i="1"/>
  <c r="BL47" i="4" s="1"/>
  <c r="M59" i="1"/>
  <c r="V59" i="1" s="1"/>
  <c r="M44" i="1"/>
  <c r="N44" i="1" s="1"/>
  <c r="M35" i="1"/>
  <c r="V35" i="1" s="1"/>
  <c r="M30" i="1"/>
  <c r="N30" i="1" s="1"/>
  <c r="M49" i="1"/>
  <c r="V49" i="1" s="1"/>
  <c r="M58" i="1"/>
  <c r="N58" i="1" s="1"/>
  <c r="M42" i="1"/>
  <c r="BL32" i="4" s="1"/>
  <c r="M25" i="1"/>
  <c r="N25" i="1" s="1"/>
  <c r="M37" i="1"/>
  <c r="V37" i="1" s="1"/>
  <c r="M50" i="1"/>
  <c r="BL40" i="4" s="1"/>
  <c r="M34" i="1"/>
  <c r="V34" i="1" s="1"/>
  <c r="M39" i="1"/>
  <c r="BL29" i="4" s="1"/>
  <c r="M54" i="1"/>
  <c r="BL44" i="4" s="1"/>
  <c r="M55" i="1"/>
  <c r="N55" i="1" s="1"/>
  <c r="M52" i="1"/>
  <c r="V52" i="1" s="1"/>
  <c r="M29" i="1"/>
  <c r="BL19" i="4" s="1"/>
  <c r="M40" i="1"/>
  <c r="N40" i="1" s="1"/>
  <c r="M48" i="1"/>
  <c r="BL38" i="4" s="1"/>
  <c r="M36" i="1"/>
  <c r="BL26" i="4" s="1"/>
  <c r="M23" i="1"/>
  <c r="V23" i="1" s="1"/>
  <c r="M31" i="1"/>
  <c r="BL21" i="4" s="1"/>
  <c r="M27" i="1"/>
  <c r="N27" i="1" s="1"/>
  <c r="M43" i="1"/>
  <c r="V43" i="1" s="1"/>
  <c r="M41" i="1"/>
  <c r="BL31" i="4" s="1"/>
  <c r="M28" i="1"/>
  <c r="V28" i="1" s="1"/>
  <c r="M26" i="1"/>
  <c r="V26" i="1" s="1"/>
  <c r="M45" i="1"/>
  <c r="N45" i="1" s="1"/>
  <c r="M47" i="1"/>
  <c r="V47" i="1" s="1"/>
  <c r="M24" i="1"/>
  <c r="V24" i="1" s="1"/>
  <c r="M46" i="1"/>
  <c r="BL36" i="4" s="1"/>
  <c r="N33" i="1" l="1"/>
  <c r="V54" i="1"/>
  <c r="V32" i="1"/>
  <c r="N56" i="1"/>
  <c r="V29" i="1"/>
  <c r="N60" i="1"/>
  <c r="N46" i="1"/>
  <c r="N24" i="1"/>
  <c r="V30" i="1"/>
  <c r="V25" i="1"/>
  <c r="V39" i="1"/>
  <c r="N37" i="1"/>
  <c r="V53" i="1"/>
  <c r="BL51" i="4"/>
  <c r="BL48" i="4"/>
  <c r="V58" i="1"/>
  <c r="N42" i="1"/>
  <c r="V40" i="1"/>
  <c r="BL39" i="4"/>
  <c r="N34" i="1"/>
  <c r="BL43" i="4"/>
  <c r="N35" i="1"/>
  <c r="V31" i="1"/>
  <c r="N36" i="1"/>
  <c r="N52" i="1"/>
  <c r="BL49" i="4"/>
  <c r="V36" i="1"/>
  <c r="N43" i="1"/>
  <c r="N51" i="1"/>
  <c r="BL14" i="4"/>
  <c r="V61" i="1"/>
  <c r="BL35" i="4"/>
  <c r="N59" i="1"/>
  <c r="BL46" i="4"/>
  <c r="BL42" i="4"/>
  <c r="V27" i="1"/>
  <c r="N39" i="1"/>
  <c r="N48" i="1"/>
  <c r="V55" i="1"/>
  <c r="V50" i="1"/>
  <c r="N57" i="1"/>
  <c r="N26" i="1"/>
  <c r="N31" i="1"/>
  <c r="BL41" i="4"/>
  <c r="N49" i="1"/>
  <c r="V45" i="1"/>
  <c r="BL30" i="4"/>
  <c r="BL24" i="4"/>
  <c r="BL33" i="4"/>
  <c r="V42" i="1"/>
  <c r="N54" i="1"/>
  <c r="N28" i="1"/>
  <c r="BL25" i="4"/>
  <c r="BL27" i="4"/>
  <c r="BL23" i="4"/>
  <c r="BL18" i="4"/>
  <c r="BL17" i="4"/>
  <c r="BL20" i="4"/>
  <c r="BL13" i="4"/>
  <c r="V48" i="1"/>
  <c r="V44" i="1"/>
  <c r="V41" i="1"/>
  <c r="V60" i="1"/>
  <c r="N47" i="1"/>
  <c r="N32" i="1"/>
  <c r="V57" i="1"/>
  <c r="N38" i="1"/>
  <c r="N23" i="1"/>
  <c r="N29" i="1"/>
  <c r="BL15" i="4"/>
  <c r="BL34" i="4"/>
  <c r="V46" i="1"/>
  <c r="N41" i="1"/>
  <c r="BL45" i="4"/>
  <c r="BL37" i="4"/>
  <c r="N50" i="1"/>
  <c r="V38" i="1"/>
  <c r="BL16" i="4"/>
  <c r="BM7" i="4" l="1"/>
  <c r="BL8" i="4"/>
  <c r="V10" i="1"/>
  <c r="O16" i="1" s="1"/>
  <c r="L10" i="1" l="1"/>
  <c r="L6" i="1"/>
  <c r="J56" i="4"/>
  <c r="BM8" i="4"/>
  <c r="BM12" i="4"/>
</calcChain>
</file>

<file path=xl/sharedStrings.xml><?xml version="1.0" encoding="utf-8"?>
<sst xmlns="http://schemas.openxmlformats.org/spreadsheetml/2006/main" count="1950" uniqueCount="939">
  <si>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</si>
  <si>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</si>
  <si>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</si>
  <si>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</si>
  <si>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</si>
  <si>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</si>
  <si>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</si>
  <si>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</si>
  <si>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</si>
  <si>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</si>
  <si>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</si>
  <si>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</si>
  <si>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</si>
  <si>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</si>
  <si>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</si>
  <si>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</si>
  <si>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</si>
  <si>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</si>
  <si>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</si>
  <si>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</si>
  <si>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</si>
  <si>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</si>
  <si>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</si>
  <si>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</si>
  <si>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</si>
  <si>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</si>
  <si>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</si>
  <si>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</si>
  <si>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</si>
  <si>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</si>
  <si>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</si>
  <si>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</si>
  <si>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</si>
  <si>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</si>
  <si>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</si>
  <si>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</si>
  <si>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</si>
  <si>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</si>
  <si>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</si>
  <si>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</si>
  <si>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</si>
  <si>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</si>
  <si>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</si>
  <si>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</si>
  <si>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</si>
  <si>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</si>
  <si>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</si>
  <si>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</si>
  <si>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</si>
  <si>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</si>
  <si>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</si>
  <si>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</si>
  <si>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</si>
  <si>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</si>
  <si>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</si>
  <si>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</si>
  <si>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</si>
  <si>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</si>
  <si>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</si>
  <si>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</si>
  <si>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</si>
  <si>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</si>
  <si>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</si>
  <si>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</si>
  <si>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</si>
  <si>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</si>
  <si>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</si>
  <si>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</si>
  <si>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</si>
  <si>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</si>
  <si>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</si>
  <si>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</si>
  <si>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</si>
  <si>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</si>
  <si>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</si>
  <si>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</si>
  <si>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</si>
  <si>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</si>
  <si>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</si>
  <si>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</si>
  <si>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</si>
  <si>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</si>
  <si>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</si>
  <si>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</si>
  <si>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</si>
  <si>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</si>
  <si>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</si>
  <si>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</si>
  <si>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</si>
  <si>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</si>
  <si>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</si>
  <si>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</si>
  <si>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</si>
  <si>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</si>
  <si>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</si>
  <si>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</si>
  <si>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</si>
  <si>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</si>
  <si>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</si>
  <si>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</si>
  <si>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</si>
  <si>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</si>
  <si>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</si>
  <si>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</si>
  <si>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</si>
  <si>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</si>
  <si>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</si>
  <si>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</si>
  <si>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</si>
  <si>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</si>
  <si>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</si>
  <si>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</si>
  <si>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</si>
  <si>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</si>
  <si>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</si>
  <si>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</si>
  <si>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</si>
  <si>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</si>
  <si>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</si>
  <si>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</si>
  <si>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</si>
  <si>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</si>
  <si>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</si>
  <si>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</si>
  <si>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</si>
  <si>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</si>
  <si>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</si>
  <si>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</si>
  <si>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</si>
  <si>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</si>
  <si>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</si>
  <si>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</si>
  <si>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</si>
  <si>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</si>
  <si>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</si>
  <si>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</si>
  <si>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</si>
  <si>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</si>
  <si>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</si>
  <si>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</si>
  <si>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</si>
  <si>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</si>
  <si>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</si>
  <si>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</si>
  <si>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</si>
  <si>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</si>
  <si>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</si>
  <si>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</si>
  <si>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</si>
  <si>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</si>
  <si>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</si>
  <si>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</si>
  <si>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</si>
  <si>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</si>
  <si>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</si>
  <si>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</si>
  <si>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</si>
  <si>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</si>
  <si>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</si>
  <si>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</si>
  <si>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</si>
  <si>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</si>
  <si>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</si>
  <si>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</si>
  <si>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</si>
  <si>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</si>
  <si>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</si>
  <si>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</si>
  <si>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</si>
  <si>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</si>
  <si>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</si>
  <si>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</si>
  <si>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</si>
  <si>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Espadas excelentes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</si>
  <si>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</si>
  <si>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</si>
  <si>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</si>
  <si>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</si>
  <si>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</si>
  <si>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</si>
  <si>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</si>
  <si>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</si>
  <si>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</si>
  <si>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</si>
  <si>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</si>
  <si>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</si>
  <si>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</si>
  <si>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</si>
  <si>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</si>
  <si>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</si>
  <si>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</si>
  <si>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</si>
  <si>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</si>
  <si>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</si>
  <si>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</si>
  <si>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</si>
  <si>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</si>
  <si>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</si>
  <si>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</si>
  <si>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</si>
  <si>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</si>
  <si>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</si>
  <si>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</si>
  <si>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</si>
  <si>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</si>
  <si>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</si>
  <si>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</si>
  <si>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</si>
  <si>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</si>
  <si>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</si>
  <si>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Punkte pro Base</t>
  </si>
  <si>
    <t>BHGS Nummer</t>
  </si>
  <si>
    <t>Turnier</t>
  </si>
  <si>
    <t>Club</t>
  </si>
  <si>
    <t>Name und Vornamen</t>
  </si>
  <si>
    <t>Adresse</t>
  </si>
  <si>
    <t>Name der Liste:</t>
  </si>
  <si>
    <t>Seitennummer</t>
  </si>
  <si>
    <t>Listennummer</t>
  </si>
  <si>
    <t>Geländetypen</t>
  </si>
  <si>
    <t>Nationalität</t>
  </si>
  <si>
    <t>Durchschnittlich</t>
  </si>
  <si>
    <t>Entwickelt</t>
  </si>
  <si>
    <t>Ausgebildet</t>
  </si>
  <si>
    <t>Unausgebildet</t>
  </si>
  <si>
    <t>Ungeschützt</t>
  </si>
  <si>
    <t>Geschützt</t>
  </si>
  <si>
    <t>Langbogen</t>
  </si>
  <si>
    <t>Armbrust</t>
  </si>
  <si>
    <t>Schleuder</t>
  </si>
  <si>
    <t>Wurfspeer</t>
  </si>
  <si>
    <t>Feuerwaffe</t>
  </si>
  <si>
    <t>Andere</t>
  </si>
  <si>
    <t>Defensive Speerträger</t>
  </si>
  <si>
    <t>Schwertkämpfer</t>
  </si>
  <si>
    <t>Speerträger</t>
  </si>
  <si>
    <t>Kamelreiter</t>
  </si>
  <si>
    <t>Landwirtschaftlich</t>
  </si>
  <si>
    <t>Berg</t>
  </si>
  <si>
    <t>Hügelig</t>
  </si>
  <si>
    <t>Tropisch</t>
  </si>
  <si>
    <t>Wald</t>
  </si>
  <si>
    <t>Wüste</t>
  </si>
  <si>
    <t>Spielinformation</t>
  </si>
  <si>
    <t>Français</t>
  </si>
  <si>
    <t>English</t>
  </si>
  <si>
    <t>Español</t>
  </si>
  <si>
    <t xml:space="preserve">Arcs  </t>
  </si>
  <si>
    <t>Arcos</t>
  </si>
  <si>
    <t>BG Number</t>
  </si>
  <si>
    <t>attrition table</t>
  </si>
  <si>
    <t>Number of BG</t>
  </si>
  <si>
    <t>Nombre de BG</t>
  </si>
  <si>
    <t>Número de BG</t>
  </si>
  <si>
    <t>Deutsch</t>
  </si>
  <si>
    <t>25%</t>
  </si>
  <si>
    <t>Autobreak</t>
  </si>
  <si>
    <t>Allies</t>
  </si>
  <si>
    <t>Mob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</si>
  <si>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</si>
  <si>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</si>
  <si>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</si>
  <si>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</si>
  <si>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</si>
  <si>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</si>
  <si>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</si>
  <si>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</si>
  <si>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</si>
  <si>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</si>
  <si>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</si>
  <si>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</si>
  <si>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</si>
  <si>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</si>
  <si>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Camp fortifié</t>
  </si>
  <si>
    <t>Campo Consolidado</t>
  </si>
  <si>
    <t>Fortified Camp</t>
  </si>
  <si>
    <t>Ordre du livre</t>
  </si>
  <si>
    <t>Orden del libro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</si>
  <si>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</si>
  <si>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</si>
  <si>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</si>
  <si>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</si>
  <si>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</si>
  <si>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</si>
  <si>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</si>
  <si>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</si>
  <si>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</si>
  <si>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</si>
  <si>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</si>
  <si>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</si>
  <si>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</si>
  <si>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</si>
  <si>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</si>
  <si>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</si>
  <si>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</si>
  <si>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</si>
  <si>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</si>
  <si>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</si>
  <si>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</si>
  <si>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</si>
  <si>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</si>
  <si>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</si>
  <si>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</si>
  <si>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</si>
  <si>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</si>
  <si>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</si>
  <si>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</si>
  <si>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</si>
  <si>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</si>
  <si>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</si>
  <si>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</si>
  <si>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</si>
  <si>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</si>
  <si>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</si>
  <si>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</si>
  <si>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</si>
  <si>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</si>
  <si>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</si>
  <si>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</si>
  <si>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</si>
  <si>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</si>
  <si>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</si>
  <si>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</si>
  <si>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</si>
  <si>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</si>
  <si>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</si>
  <si>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</si>
  <si>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</si>
  <si>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</si>
  <si>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</si>
  <si>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</si>
  <si>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</si>
  <si>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</si>
  <si>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</si>
  <si>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</si>
  <si>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</si>
  <si>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</si>
  <si>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</si>
  <si>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</si>
  <si>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</si>
  <si>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</si>
  <si>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</si>
  <si>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</si>
  <si>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</si>
  <si>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</si>
  <si>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</si>
  <si>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</si>
  <si>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</si>
  <si>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</si>
  <si>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</si>
  <si>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</si>
  <si>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</si>
  <si>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</si>
  <si>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</si>
  <si>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</si>
  <si>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</si>
  <si>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</si>
  <si>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</si>
  <si>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</si>
  <si>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</si>
  <si>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</si>
  <si>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</si>
  <si>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</si>
  <si>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</si>
  <si>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</si>
  <si>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</si>
  <si>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</si>
  <si>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</si>
  <si>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</si>
  <si>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</si>
  <si>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</si>
  <si>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</si>
  <si>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</si>
  <si>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</si>
  <si>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</si>
  <si>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</si>
  <si>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</si>
  <si>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</si>
  <si>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</si>
  <si>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</si>
  <si>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</si>
  <si>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</si>
  <si>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</si>
  <si>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</si>
  <si>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</si>
  <si>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</si>
  <si>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</si>
  <si>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</si>
  <si>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</si>
  <si>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</si>
  <si>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</si>
  <si>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</si>
  <si>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</si>
  <si>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</si>
  <si>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</si>
  <si>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</si>
  <si>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</si>
  <si>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</si>
  <si>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</si>
  <si>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</si>
  <si>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</si>
  <si>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</si>
  <si>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</si>
  <si>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</si>
  <si>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</si>
  <si>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</si>
  <si>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</si>
  <si>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</si>
  <si>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</si>
  <si>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</si>
  <si>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</si>
  <si>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</si>
  <si>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</si>
  <si>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</si>
  <si>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</si>
  <si>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</si>
  <si>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</si>
  <si>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</si>
  <si>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</si>
  <si>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</si>
  <si>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</si>
  <si>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</si>
  <si>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</si>
  <si>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</si>
  <si>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</si>
  <si>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</si>
  <si>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</si>
  <si>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</si>
  <si>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</si>
  <si>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</si>
  <si>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</si>
  <si>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</si>
  <si>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</si>
  <si>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</si>
  <si>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</si>
  <si>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</si>
  <si>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</si>
  <si>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</si>
  <si>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</si>
  <si>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</si>
  <si>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</si>
  <si>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</si>
  <si>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</si>
  <si>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</si>
  <si>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</si>
  <si>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</si>
  <si>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</si>
  <si>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</si>
  <si>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</si>
  <si>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</si>
  <si>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</si>
  <si>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</si>
  <si>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</si>
  <si>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</si>
  <si>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</si>
  <si>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</si>
  <si>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</si>
  <si>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</si>
  <si>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</si>
  <si>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</si>
  <si>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</si>
  <si>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</si>
  <si>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</si>
  <si>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</si>
  <si>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</si>
  <si>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</si>
  <si>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</si>
  <si>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</si>
  <si>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</si>
  <si>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</si>
  <si>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</si>
  <si>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</si>
  <si>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</si>
  <si>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</si>
  <si>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</si>
  <si>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</si>
  <si>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</si>
  <si>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</si>
  <si>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</si>
  <si>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</si>
  <si>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</si>
  <si>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</si>
  <si>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</si>
  <si>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</si>
  <si>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</si>
  <si>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</si>
  <si>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</si>
  <si>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</si>
  <si>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</si>
  <si>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</si>
  <si>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</si>
  <si>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</si>
  <si>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</si>
  <si>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</si>
  <si>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</si>
  <si>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</si>
  <si>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</si>
  <si>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</si>
  <si>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</si>
  <si>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</si>
  <si>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</si>
  <si>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</si>
  <si>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</si>
  <si>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</si>
  <si>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</si>
  <si>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</si>
  <si>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</si>
  <si>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</si>
  <si>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</si>
  <si>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</si>
  <si>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</si>
  <si>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</si>
  <si>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</si>
  <si>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</si>
  <si>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</si>
  <si>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</si>
  <si>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</si>
  <si>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</si>
  <si>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</si>
  <si>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</si>
  <si>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</si>
  <si>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</si>
  <si>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</si>
  <si>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</si>
  <si>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</si>
  <si>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</si>
  <si>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</si>
  <si>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</si>
  <si>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</si>
  <si>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</si>
  <si>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</si>
  <si>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</si>
  <si>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</si>
  <si>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</si>
  <si>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</si>
  <si>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</si>
  <si>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</si>
  <si>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</si>
  <si>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</si>
  <si>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</si>
  <si>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</si>
  <si>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</si>
  <si>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</si>
  <si>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</si>
  <si>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</si>
  <si>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</si>
  <si>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</si>
  <si>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</si>
  <si>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</si>
  <si>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</si>
  <si>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</si>
  <si>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</si>
  <si>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</si>
  <si>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</si>
  <si>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</si>
  <si>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</si>
  <si>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</si>
  <si>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</si>
  <si>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</si>
  <si>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</si>
  <si>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</si>
  <si>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</si>
  <si>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</si>
  <si>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</si>
  <si>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</si>
  <si>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</si>
  <si>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</si>
  <si>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</si>
  <si>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Información sobre el ejército</t>
  </si>
  <si>
    <t>Nom des Commandants</t>
  </si>
  <si>
    <t>Nombre de Commandantes</t>
  </si>
  <si>
    <t>Type de Commandant</t>
  </si>
  <si>
    <t>Tipo de Commandante</t>
  </si>
  <si>
    <t>Allié?</t>
  </si>
  <si>
    <t>Aliado?</t>
  </si>
  <si>
    <t>Quantité</t>
  </si>
  <si>
    <t>Cantidad</t>
  </si>
  <si>
    <t>Valeur</t>
  </si>
  <si>
    <t xml:space="preserve">Valor   </t>
  </si>
  <si>
    <t>Wert</t>
  </si>
  <si>
    <t>No</t>
  </si>
  <si>
    <t>Oui</t>
  </si>
  <si>
    <t>Si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</si>
  <si>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</si>
  <si>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</si>
  <si>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</si>
  <si>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</si>
  <si>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</si>
  <si>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</si>
  <si>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</si>
  <si>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</si>
  <si>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</si>
  <si>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</si>
  <si>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</si>
  <si>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</si>
  <si>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</si>
  <si>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</si>
  <si>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</si>
  <si>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</si>
  <si>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</si>
  <si>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Type des troupes</t>
  </si>
  <si>
    <t>Tipo de las tropas</t>
  </si>
  <si>
    <t>Capacités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</si>
  <si>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</si>
  <si>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</si>
  <si>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</si>
  <si>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</si>
  <si>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</si>
  <si>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</si>
  <si>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</si>
  <si>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</si>
  <si>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</si>
  <si>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</si>
  <si>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</si>
  <si>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</si>
  <si>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</si>
  <si>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</si>
  <si>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</si>
  <si>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</si>
  <si>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</si>
  <si>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</si>
  <si>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</si>
  <si>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</si>
  <si>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</si>
  <si>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Camelry; Port. Def.</t>
  </si>
  <si>
    <t>Chamelerie; Obs. Portés</t>
  </si>
  <si>
    <t>Camellería; Def. Port</t>
  </si>
  <si>
    <t>Information Sur le joueur</t>
  </si>
  <si>
    <t>Información sobre el jugador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</si>
  <si>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</si>
  <si>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</si>
  <si>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</si>
  <si>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</si>
  <si>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</si>
  <si>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</si>
  <si>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</si>
  <si>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</si>
  <si>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</si>
  <si>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</si>
  <si>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</si>
  <si>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</si>
  <si>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</si>
  <si>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</si>
  <si>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</si>
  <si>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</si>
  <si>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</si>
  <si>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</si>
  <si>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</si>
  <si>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</si>
  <si>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</si>
  <si>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</si>
  <si>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</si>
  <si>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</si>
  <si>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</si>
  <si>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</si>
  <si>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</si>
  <si>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</si>
  <si>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</si>
  <si>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Shooting</t>
  </si>
  <si>
    <t>BG Total</t>
  </si>
  <si>
    <t>Troops</t>
  </si>
  <si>
    <t>Troupes</t>
  </si>
  <si>
    <t>Italiano</t>
  </si>
  <si>
    <t>Indirizzo</t>
  </si>
  <si>
    <t>Agricolo</t>
  </si>
  <si>
    <t>Alleati</t>
  </si>
  <si>
    <t>Generale alleato</t>
  </si>
  <si>
    <t>Alleato?</t>
  </si>
  <si>
    <t>Armatura</t>
  </si>
  <si>
    <t>Corazzato</t>
  </si>
  <si>
    <t>Data dell'esercito</t>
  </si>
  <si>
    <t>Informazioni sull'esercito</t>
  </si>
  <si>
    <t>Valore dei Punti di Attrito per la tabella dei punteggi di FOG</t>
  </si>
  <si>
    <t>Punto di rottura spontanea</t>
  </si>
  <si>
    <t>Medio</t>
  </si>
  <si>
    <t>Schieramento dei BG</t>
  </si>
  <si>
    <t>Valore dei BG</t>
  </si>
  <si>
    <t>Numero del BHGS</t>
  </si>
  <si>
    <t>Nome del libro</t>
  </si>
  <si>
    <t>Arco</t>
  </si>
  <si>
    <t>Cammelli</t>
  </si>
  <si>
    <t>Abilità</t>
  </si>
  <si>
    <t>Combattimento corpo a corpo</t>
  </si>
  <si>
    <t>Nome del comandante</t>
  </si>
  <si>
    <t xml:space="preserve">Tipo di comandante </t>
  </si>
  <si>
    <t>Costo</t>
  </si>
  <si>
    <t>Balestra</t>
  </si>
  <si>
    <t>Lance difensivo</t>
  </si>
  <si>
    <t>Deserto</t>
  </si>
  <si>
    <t>Deterioramento</t>
  </si>
  <si>
    <t>Sviluppato</t>
  </si>
  <si>
    <t>sviluppato</t>
  </si>
  <si>
    <t>Addestrati</t>
  </si>
  <si>
    <t>Arma da fuoco</t>
  </si>
  <si>
    <t xml:space="preserve">Campo fortificato </t>
  </si>
  <si>
    <t>Informazioni sulla partita</t>
  </si>
  <si>
    <t>Generale</t>
  </si>
  <si>
    <t>Completamente corazzati</t>
  </si>
  <si>
    <t>Artiglieria pesante</t>
  </si>
  <si>
    <t>Armi pesanti</t>
  </si>
  <si>
    <t>Collinare</t>
  </si>
  <si>
    <t>Fanteria da impatto</t>
  </si>
  <si>
    <t>Fanteria da impatto Spadaccini abili</t>
  </si>
  <si>
    <t>Fanteria da impatto Spadaccini</t>
  </si>
  <si>
    <t>POA da impatto</t>
  </si>
  <si>
    <t>Importante: non toccare le cello colorate</t>
  </si>
  <si>
    <t>Giavellotti</t>
  </si>
  <si>
    <t>Lancieri</t>
  </si>
  <si>
    <t>Lancieri spadaccini</t>
  </si>
  <si>
    <t>Opzione di lingua</t>
  </si>
  <si>
    <t>Artiglieria leggera</t>
  </si>
  <si>
    <t>Lance leggere</t>
  </si>
  <si>
    <t>Lance leggere Spadaccini abili</t>
  </si>
  <si>
    <t>Lance leggere Spadaccini</t>
  </si>
  <si>
    <t>Nome della lista</t>
  </si>
  <si>
    <t>Numero della lista</t>
  </si>
  <si>
    <t>Arco lungo</t>
  </si>
  <si>
    <t>Montagnoso</t>
  </si>
  <si>
    <t>Nome e cognome</t>
  </si>
  <si>
    <t>Nazionalità</t>
  </si>
  <si>
    <t>Numero</t>
  </si>
  <si>
    <t>Numero di basi</t>
  </si>
  <si>
    <t>Numero dei BG</t>
  </si>
  <si>
    <t xml:space="preserve">Lance offensiva </t>
  </si>
  <si>
    <t>Ordine del libro</t>
  </si>
  <si>
    <t>Ordine di marcia</t>
  </si>
  <si>
    <t>Altro</t>
  </si>
  <si>
    <t>Numero pagina</t>
  </si>
  <si>
    <t>Informazioni personali</t>
  </si>
  <si>
    <t>Picche</t>
  </si>
  <si>
    <t>Punti per base</t>
  </si>
  <si>
    <t>Scadenti</t>
  </si>
  <si>
    <t>Ost. Mobili</t>
  </si>
  <si>
    <t>Modificatore pre battaglia</t>
  </si>
  <si>
    <t>Protetta</t>
  </si>
  <si>
    <t>Qualità</t>
  </si>
  <si>
    <t>Tiro</t>
  </si>
  <si>
    <t>Spadaccini abili</t>
  </si>
  <si>
    <t>Fionde</t>
  </si>
  <si>
    <t>Lance</t>
  </si>
  <si>
    <t>Speciale</t>
  </si>
  <si>
    <t>Steppa</t>
  </si>
  <si>
    <t>Superiore</t>
  </si>
  <si>
    <t>Spadaccini</t>
  </si>
  <si>
    <t>Numero di telefono</t>
  </si>
  <si>
    <t>Tipo di territorio</t>
  </si>
  <si>
    <t>Informazione sul giocatore</t>
  </si>
  <si>
    <t>Torneo</t>
  </si>
  <si>
    <t>Addestramento</t>
  </si>
  <si>
    <t>Tipo di truppa</t>
  </si>
  <si>
    <t>Nome di truppa</t>
  </si>
  <si>
    <t>Tropicale</t>
  </si>
  <si>
    <t>Non addestrati</t>
  </si>
  <si>
    <t>Non protetti</t>
  </si>
  <si>
    <t>Valore</t>
  </si>
  <si>
    <t>Boschivo</t>
  </si>
  <si>
    <t>Ufficio</t>
  </si>
  <si>
    <t>Cammelli; Ost. mobili</t>
  </si>
  <si>
    <t>Alliierte</t>
  </si>
  <si>
    <t>Alliierter Befehlshaber</t>
  </si>
  <si>
    <t>Alliierter?</t>
  </si>
  <si>
    <t>Gepanzert</t>
  </si>
  <si>
    <t>Armeedatum</t>
  </si>
  <si>
    <t>Informationen über die Armee</t>
  </si>
  <si>
    <t>Verlustpunkt Wert für den FOG Abrechnungsbogen</t>
  </si>
  <si>
    <t>Automatisches brechen</t>
  </si>
  <si>
    <t>Aufteilung der KV</t>
  </si>
  <si>
    <t>KV Wert</t>
  </si>
  <si>
    <t>Buchtitel:</t>
  </si>
  <si>
    <t>Bogen</t>
  </si>
  <si>
    <t>Fähigkeiten</t>
  </si>
  <si>
    <t>OB</t>
  </si>
  <si>
    <t>Nahkampf</t>
  </si>
  <si>
    <t>Name der Befehlshaber</t>
  </si>
  <si>
    <t>Befehlshabertyp</t>
  </si>
  <si>
    <t>Gesamtzahl Feldbefestigungen</t>
  </si>
  <si>
    <t>Befestigtes Lager</t>
  </si>
  <si>
    <t>Schwer Gepanzert</t>
  </si>
  <si>
    <t>Schwere Artillerie</t>
  </si>
  <si>
    <t>Schwere Waffe</t>
  </si>
  <si>
    <t>Stoßtruppen</t>
  </si>
  <si>
    <t>Stoßtruppen überl. Schwertkämpfer</t>
  </si>
  <si>
    <t>Stoßtruppen Schwertkämpfer</t>
  </si>
  <si>
    <t>Angriffs VP</t>
  </si>
  <si>
    <t>Achtung: Bitte nichts in die eingefärbten Zellen schreiben.</t>
  </si>
  <si>
    <t>Lanzen</t>
  </si>
  <si>
    <t>Lanzen Schwertkämpfer</t>
  </si>
  <si>
    <t>Leichte Artillerie</t>
  </si>
  <si>
    <t>Leichter Speer</t>
  </si>
  <si>
    <t>leichter Speer überl. Schwertkämpfer</t>
  </si>
  <si>
    <t>Leichter Speer Schwertkämpfer</t>
  </si>
  <si>
    <t>Anzahl</t>
  </si>
  <si>
    <t>Anzahl der Basen</t>
  </si>
  <si>
    <t>Anzahl der KV</t>
  </si>
  <si>
    <t>Offensiver Speerträger</t>
  </si>
  <si>
    <t>Buchreihenfolge</t>
  </si>
  <si>
    <t>Persönliche Informationen</t>
  </si>
  <si>
    <t>Piken</t>
  </si>
  <si>
    <t>Unterdurchschnittlich</t>
  </si>
  <si>
    <t>Tragbare Hindernisse</t>
  </si>
  <si>
    <t>Initiativmodifikator</t>
  </si>
  <si>
    <t>Überlegene Schwertkämpfer</t>
  </si>
  <si>
    <t>Besonderheit</t>
  </si>
  <si>
    <t>Überdurchschnittlich</t>
  </si>
  <si>
    <t>Spielerinformationen</t>
  </si>
  <si>
    <t>Truppentyp</t>
  </si>
  <si>
    <t>Ja</t>
  </si>
  <si>
    <t>Kamelreiter; tragb. Hindern.</t>
  </si>
  <si>
    <t>Latin Greece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</si>
  <si>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</si>
  <si>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</si>
  <si>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</si>
  <si>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</si>
  <si>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</si>
  <si>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</si>
  <si>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</si>
  <si>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</si>
  <si>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</si>
  <si>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</si>
  <si>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</si>
  <si>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</si>
  <si>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</si>
  <si>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</si>
  <si>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</si>
  <si>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</si>
  <si>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</si>
  <si>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</si>
  <si>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</si>
  <si>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</si>
  <si>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</si>
  <si>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</si>
  <si>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</si>
  <si>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</si>
  <si>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</si>
  <si>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</si>
  <si>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</si>
  <si>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</si>
  <si>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</si>
  <si>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</si>
  <si>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</si>
  <si>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</si>
  <si>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</si>
  <si>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</si>
  <si>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</si>
  <si>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</si>
  <si>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</si>
  <si>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Nanzhao</t>
  </si>
  <si>
    <t>infanterie Polearm</t>
  </si>
  <si>
    <t>Polearm</t>
  </si>
  <si>
    <t>infanterie Firearm</t>
  </si>
  <si>
    <t>Knight Armour</t>
  </si>
  <si>
    <t>Cataphract Armour</t>
  </si>
  <si>
    <t>No Type</t>
  </si>
  <si>
    <t>Full list</t>
  </si>
  <si>
    <t>cavArmr</t>
  </si>
  <si>
    <t>Quality Lists</t>
  </si>
  <si>
    <t>ElQual</t>
  </si>
  <si>
    <t>AvQual</t>
  </si>
  <si>
    <t>MobQual</t>
  </si>
  <si>
    <t>AllQual</t>
  </si>
  <si>
    <t>CavMiss</t>
  </si>
  <si>
    <t>LHChMiss</t>
  </si>
  <si>
    <t>FootMiss</t>
  </si>
  <si>
    <t>KnWpn</t>
  </si>
  <si>
    <t>CavWpn</t>
  </si>
  <si>
    <t>ChWpn</t>
  </si>
  <si>
    <t>BWGMiss</t>
  </si>
  <si>
    <t>FootWpn</t>
  </si>
  <si>
    <t>BWGWpn</t>
  </si>
  <si>
    <t>Pike</t>
  </si>
  <si>
    <t>Pre Deployment</t>
  </si>
  <si>
    <t>Total Field Fortifications</t>
  </si>
  <si>
    <t>Fortifications</t>
  </si>
  <si>
    <t>Post Deployment</t>
  </si>
  <si>
    <t>Truppa</t>
  </si>
  <si>
    <t>Quantity</t>
  </si>
  <si>
    <t>Quantitat</t>
  </si>
  <si>
    <t>Quantita</t>
  </si>
  <si>
    <t xml:space="preserve"> Fortfication</t>
  </si>
  <si>
    <t>Feldbefestigungen</t>
  </si>
  <si>
    <t xml:space="preserve"> Fortificazioni</t>
  </si>
  <si>
    <t>Prima della distribuzione</t>
  </si>
  <si>
    <t>Dopo della distribuzione</t>
  </si>
  <si>
    <t>Vor Einsatz</t>
  </si>
  <si>
    <t>nach Einsatz</t>
  </si>
  <si>
    <t>Avant le déploiement</t>
  </si>
  <si>
    <t>Apres le déploiement</t>
  </si>
  <si>
    <t>Después del despliegue</t>
  </si>
  <si>
    <t>Antes del despliegue</t>
  </si>
  <si>
    <t>Army Size</t>
  </si>
  <si>
    <t>Battlegroups</t>
  </si>
  <si>
    <t>CatMiss</t>
  </si>
  <si>
    <t>Attrition Points</t>
  </si>
  <si>
    <t>Break Point</t>
  </si>
  <si>
    <t>Appointment</t>
  </si>
  <si>
    <t>All Missiles</t>
  </si>
  <si>
    <t>All Weapons</t>
  </si>
  <si>
    <t xml:space="preserve"> Arc.*</t>
  </si>
  <si>
    <t>Arco.*</t>
  </si>
  <si>
    <t>Bogen.*</t>
  </si>
  <si>
    <t>Characteristics</t>
  </si>
  <si>
    <t>Field</t>
  </si>
  <si>
    <t>Inspired</t>
  </si>
  <si>
    <t>Troop</t>
  </si>
  <si>
    <t xml:space="preserve">Inspired </t>
  </si>
  <si>
    <t>Phil Powell</t>
  </si>
  <si>
    <t>Camp</t>
  </si>
  <si>
    <t>Campo</t>
  </si>
  <si>
    <t>Lager</t>
  </si>
  <si>
    <t>Point/Base</t>
  </si>
  <si>
    <t>Camp &amp; Fortifications</t>
  </si>
  <si>
    <t>Camp &amp;  Fortfication</t>
  </si>
  <si>
    <t>Campo   Fortfication</t>
  </si>
  <si>
    <t>Lager &amp; Feldbefestigungen</t>
  </si>
  <si>
    <t>Campo &amp;  Fortificazioni</t>
  </si>
  <si>
    <t>CampList</t>
  </si>
  <si>
    <t>Nombre de Fortfication</t>
  </si>
  <si>
    <t>Numeroso Fortfication</t>
  </si>
  <si>
    <t>Totale Fortificazioni</t>
  </si>
  <si>
    <t>Fortified</t>
  </si>
  <si>
    <t>Fortifié</t>
  </si>
  <si>
    <t>Consolidado</t>
  </si>
  <si>
    <t>Befestigtes</t>
  </si>
  <si>
    <t>Fortificato</t>
  </si>
  <si>
    <t>YesNo</t>
  </si>
  <si>
    <t>Impact Foot Heavy Weapon</t>
  </si>
  <si>
    <t>Infanterie d'impact Arme lourde</t>
  </si>
  <si>
    <t>Infantes de asalto Arma pesada</t>
  </si>
  <si>
    <t>Stoßtruppen Schwere Waffe</t>
  </si>
  <si>
    <t>Fanteria da impatto Armi pesanti</t>
  </si>
  <si>
    <t>Light Spear Heavy Weapon</t>
  </si>
  <si>
    <t>Lance légère Arme lourde</t>
  </si>
  <si>
    <t>Lanza ligera Arma pesada</t>
  </si>
  <si>
    <t>Leichter Speer Schwere Waffe</t>
  </si>
  <si>
    <t>Lance leggere Armi pesanti</t>
  </si>
  <si>
    <t>BWG Polearm</t>
  </si>
  <si>
    <t>YES</t>
  </si>
  <si>
    <t>NO</t>
  </si>
  <si>
    <t>BHGS
Field of Glory V3.7
Army List Builder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</si>
</sst>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\ \+\ 0"/>
    <numFmt numFmtId="165" formatCode="\+\ 0"/>
  </numFmts>
  <fonts count="32" x14ac:knownFonts="1">
    <font>
      <sz val="10"/>
      <name val="Arial"/>
    </font>
    <font>
      <sz val="10"/>
      <color theme="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2"/>
      <color indexed="43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i/>
      <sz val="12"/>
      <color indexed="43"/>
      <name val="Arial"/>
      <family val="2"/>
    </font>
    <font>
      <u/>
      <sz val="12"/>
      <color indexed="54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sz val="14"/>
      <color rgb="FF222222"/>
      <name val="Arial Unicode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5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ADFFE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1">
      <alignment horizontal="center" vertical="center"/>
      <protection locked="0"/>
    </xf>
  </cellStyleXfs>
  <cellXfs count="379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0" xfId="0" applyFont="1" applyFill="1"/>
    <xf numFmtId="0" fontId="4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quotePrefix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quotePrefix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10" xfId="0" quotePrefix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ill="1"/>
    <xf numFmtId="0" fontId="6" fillId="0" borderId="7" xfId="0" quotePrefix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quotePrefix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7" fillId="0" borderId="0" xfId="0" applyFont="1"/>
    <xf numFmtId="0" fontId="3" fillId="16" borderId="0" xfId="0" applyFont="1" applyFill="1" applyAlignment="1" applyProtection="1">
      <alignment horizontal="left" wrapText="1"/>
      <protection hidden="1"/>
    </xf>
    <xf numFmtId="0" fontId="28" fillId="0" borderId="0" xfId="0" applyFont="1"/>
    <xf numFmtId="0" fontId="4" fillId="0" borderId="0" xfId="0" applyFont="1" applyFill="1" applyBorder="1" applyProtection="1"/>
    <xf numFmtId="0" fontId="22" fillId="0" borderId="0" xfId="0" applyFont="1" applyFill="1" applyProtection="1"/>
    <xf numFmtId="0" fontId="21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4" fillId="4" borderId="0" xfId="0" applyFont="1" applyFill="1" applyBorder="1" applyAlignment="1" applyProtection="1"/>
    <xf numFmtId="0" fontId="16" fillId="15" borderId="1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4" fillId="0" borderId="0" xfId="0" applyFont="1" applyFill="1" applyBorder="1" applyAlignment="1" applyProtection="1"/>
    <xf numFmtId="0" fontId="0" fillId="0" borderId="0" xfId="0" applyBorder="1" applyProtection="1"/>
    <xf numFmtId="0" fontId="19" fillId="0" borderId="0" xfId="0" applyFont="1" applyFill="1" applyBorder="1" applyAlignment="1" applyProtection="1"/>
    <xf numFmtId="3" fontId="4" fillId="0" borderId="0" xfId="0" applyNumberFormat="1" applyFont="1" applyProtection="1"/>
    <xf numFmtId="0" fontId="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0" fontId="16" fillId="15" borderId="39" xfId="0" applyFont="1" applyFill="1" applyBorder="1" applyAlignment="1" applyProtection="1">
      <alignment horizontal="center" vertical="center"/>
    </xf>
    <xf numFmtId="0" fontId="16" fillId="15" borderId="39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4" borderId="0" xfId="0" quotePrefix="1" applyFont="1" applyFill="1" applyBorder="1" applyProtection="1"/>
    <xf numFmtId="0" fontId="4" fillId="4" borderId="3" xfId="0" applyFont="1" applyFill="1" applyBorder="1" applyAlignment="1" applyProtection="1"/>
    <xf numFmtId="0" fontId="4" fillId="0" borderId="0" xfId="0" applyFont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5" fillId="15" borderId="42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17" borderId="0" xfId="0" applyFont="1" applyFill="1" applyBorder="1" applyAlignment="1" applyProtection="1">
      <alignment horizontal="center"/>
    </xf>
    <xf numFmtId="0" fontId="20" fillId="17" borderId="0" xfId="0" applyFont="1" applyFill="1" applyBorder="1" applyAlignment="1" applyProtection="1">
      <alignment vertical="center" wrapText="1"/>
    </xf>
    <xf numFmtId="0" fontId="20" fillId="17" borderId="0" xfId="0" applyFont="1" applyFill="1" applyBorder="1" applyAlignment="1" applyProtection="1">
      <alignment horizontal="center" vertical="center" wrapText="1"/>
    </xf>
    <xf numFmtId="165" fontId="11" fillId="17" borderId="0" xfId="0" applyNumberFormat="1" applyFont="1" applyFill="1" applyBorder="1" applyAlignment="1" applyProtection="1">
      <alignment vertical="center" wrapText="1"/>
    </xf>
    <xf numFmtId="165" fontId="11" fillId="17" borderId="0" xfId="0" applyNumberFormat="1" applyFont="1" applyFill="1" applyBorder="1" applyAlignment="1" applyProtection="1">
      <alignment horizontal="center" vertical="center" wrapText="1"/>
    </xf>
    <xf numFmtId="0" fontId="10" fillId="17" borderId="0" xfId="0" quotePrefix="1" applyNumberFormat="1" applyFont="1" applyFill="1" applyBorder="1" applyAlignment="1" applyProtection="1">
      <alignment horizontal="center" vertical="center" wrapText="1"/>
    </xf>
    <xf numFmtId="0" fontId="10" fillId="17" borderId="0" xfId="0" applyNumberFormat="1" applyFont="1" applyFill="1" applyBorder="1" applyAlignment="1" applyProtection="1">
      <alignment horizontal="center" vertical="center" wrapText="1"/>
    </xf>
    <xf numFmtId="0" fontId="9" fillId="17" borderId="0" xfId="0" applyFont="1" applyFill="1" applyBorder="1" applyAlignment="1" applyProtection="1">
      <alignment horizontal="center" vertical="center"/>
    </xf>
    <xf numFmtId="0" fontId="16" fillId="15" borderId="2" xfId="0" applyFont="1" applyFill="1" applyBorder="1" applyAlignment="1" applyProtection="1">
      <alignment vertical="center"/>
    </xf>
    <xf numFmtId="0" fontId="15" fillId="15" borderId="38" xfId="0" applyFont="1" applyFill="1" applyBorder="1" applyAlignment="1" applyProtection="1">
      <alignment horizontal="center" vertical="center"/>
    </xf>
    <xf numFmtId="0" fontId="16" fillId="15" borderId="46" xfId="0" applyFont="1" applyFill="1" applyBorder="1" applyAlignment="1" applyProtection="1">
      <alignment wrapText="1"/>
    </xf>
    <xf numFmtId="0" fontId="15" fillId="15" borderId="47" xfId="0" applyFont="1" applyFill="1" applyBorder="1" applyAlignment="1" applyProtection="1">
      <alignment vertical="center" wrapText="1"/>
    </xf>
    <xf numFmtId="0" fontId="15" fillId="15" borderId="5" xfId="0" applyFont="1" applyFill="1" applyBorder="1" applyAlignment="1" applyProtection="1">
      <alignment horizontal="center" vertical="top" wrapText="1"/>
    </xf>
    <xf numFmtId="0" fontId="30" fillId="5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15" fillId="15" borderId="24" xfId="0" applyFont="1" applyFill="1" applyBorder="1" applyAlignment="1" applyProtection="1">
      <alignment horizontal="center" vertical="top" wrapText="1"/>
    </xf>
    <xf numFmtId="0" fontId="15" fillId="15" borderId="48" xfId="0" applyFont="1" applyFill="1" applyBorder="1" applyAlignment="1" applyProtection="1">
      <alignment horizontal="center" vertical="top" wrapText="1"/>
    </xf>
    <xf numFmtId="0" fontId="15" fillId="15" borderId="32" xfId="0" applyFont="1" applyFill="1" applyBorder="1" applyAlignment="1" applyProtection="1">
      <alignment horizontal="center" vertical="top" wrapText="1"/>
    </xf>
    <xf numFmtId="0" fontId="29" fillId="5" borderId="26" xfId="0" applyFont="1" applyFill="1" applyBorder="1" applyAlignment="1">
      <alignment horizontal="center" vertical="center"/>
    </xf>
    <xf numFmtId="0" fontId="29" fillId="5" borderId="36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29" fillId="5" borderId="27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 wrapText="1"/>
    </xf>
    <xf numFmtId="0" fontId="15" fillId="15" borderId="35" xfId="0" applyFont="1" applyFill="1" applyBorder="1" applyAlignment="1" applyProtection="1">
      <alignment vertical="top" wrapText="1"/>
    </xf>
    <xf numFmtId="0" fontId="15" fillId="15" borderId="49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horizontal="centerContinuous" vertical="center" wrapText="1"/>
      <protection locked="0"/>
    </xf>
    <xf numFmtId="0" fontId="3" fillId="0" borderId="13" xfId="0" applyFont="1" applyFill="1" applyBorder="1" applyAlignment="1" applyProtection="1">
      <alignment horizontal="centerContinuous" vertical="center" wrapText="1"/>
      <protection locked="0"/>
    </xf>
    <xf numFmtId="0" fontId="3" fillId="0" borderId="14" xfId="0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2" xfId="0" applyFont="1" applyBorder="1" applyProtection="1"/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5" xfId="0" applyBorder="1" applyAlignment="1" applyProtection="1">
      <alignment horizontal="left"/>
    </xf>
    <xf numFmtId="1" fontId="0" fillId="0" borderId="6" xfId="0" applyNumberFormat="1" applyBorder="1" applyAlignment="1" applyProtection="1">
      <alignment horizontal="left"/>
    </xf>
    <xf numFmtId="0" fontId="4" fillId="0" borderId="1" xfId="0" applyFont="1" applyBorder="1" applyProtection="1"/>
    <xf numFmtId="0" fontId="4" fillId="0" borderId="13" xfId="0" quotePrefix="1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4" xfId="0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0" fillId="0" borderId="6" xfId="0" applyBorder="1" applyProtection="1"/>
    <xf numFmtId="0" fontId="0" fillId="0" borderId="2" xfId="0" applyBorder="1" applyAlignment="1" applyProtection="1">
      <alignment horizontal="left"/>
    </xf>
    <xf numFmtId="0" fontId="4" fillId="0" borderId="0" xfId="0" quotePrefix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4" xfId="0" applyBorder="1" applyProtection="1"/>
    <xf numFmtId="0" fontId="0" fillId="0" borderId="1" xfId="0" applyBorder="1" applyProtection="1"/>
    <xf numFmtId="0" fontId="0" fillId="0" borderId="0" xfId="0" applyFill="1" applyBorder="1" applyProtection="1"/>
    <xf numFmtId="0" fontId="0" fillId="10" borderId="0" xfId="0" applyFill="1" applyBorder="1" applyProtection="1"/>
    <xf numFmtId="0" fontId="0" fillId="10" borderId="6" xfId="0" applyFill="1" applyBorder="1" applyProtection="1"/>
    <xf numFmtId="0" fontId="0" fillId="10" borderId="0" xfId="0" applyFill="1" applyProtection="1"/>
    <xf numFmtId="0" fontId="0" fillId="0" borderId="9" xfId="0" applyBorder="1" applyAlignment="1" applyProtection="1">
      <alignment vertical="center"/>
    </xf>
    <xf numFmtId="0" fontId="4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12" borderId="0" xfId="0" applyFill="1" applyBorder="1" applyProtection="1"/>
    <xf numFmtId="0" fontId="0" fillId="12" borderId="6" xfId="0" applyFill="1" applyBorder="1" applyProtection="1"/>
    <xf numFmtId="0" fontId="0" fillId="12" borderId="0" xfId="0" applyFill="1" applyBorder="1" applyAlignment="1" applyProtection="1">
      <alignment vertical="center"/>
    </xf>
    <xf numFmtId="0" fontId="0" fillId="12" borderId="6" xfId="0" applyFill="1" applyBorder="1" applyAlignment="1" applyProtection="1">
      <alignment vertical="center"/>
    </xf>
    <xf numFmtId="0" fontId="0" fillId="12" borderId="0" xfId="0" applyFill="1" applyAlignment="1" applyProtection="1">
      <alignment vertical="center"/>
    </xf>
    <xf numFmtId="1" fontId="0" fillId="0" borderId="6" xfId="0" applyNumberFormat="1" applyFill="1" applyBorder="1" applyAlignment="1" applyProtection="1">
      <alignment horizontal="left"/>
    </xf>
    <xf numFmtId="0" fontId="0" fillId="6" borderId="0" xfId="0" applyFill="1" applyBorder="1" applyProtection="1"/>
    <xf numFmtId="0" fontId="0" fillId="6" borderId="6" xfId="0" applyFill="1" applyBorder="1" applyProtection="1"/>
    <xf numFmtId="0" fontId="0" fillId="6" borderId="0" xfId="0" applyFill="1" applyProtection="1"/>
    <xf numFmtId="0" fontId="0" fillId="0" borderId="1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7" borderId="0" xfId="0" applyFill="1" applyBorder="1" applyProtection="1"/>
    <xf numFmtId="0" fontId="0" fillId="7" borderId="6" xfId="0" applyFill="1" applyBorder="1" applyProtection="1"/>
    <xf numFmtId="0" fontId="0" fillId="7" borderId="0" xfId="0" applyFill="1" applyProtection="1"/>
    <xf numFmtId="0" fontId="0" fillId="0" borderId="6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/>
    </xf>
    <xf numFmtId="0" fontId="0" fillId="0" borderId="0" xfId="0" applyFont="1" applyFill="1" applyBorder="1" applyProtection="1"/>
    <xf numFmtId="0" fontId="4" fillId="0" borderId="6" xfId="0" applyFont="1" applyBorder="1" applyProtection="1"/>
    <xf numFmtId="1" fontId="0" fillId="0" borderId="6" xfId="0" applyNumberFormat="1" applyBorder="1" applyAlignment="1" applyProtection="1">
      <alignment horizontal="center"/>
    </xf>
    <xf numFmtId="0" fontId="0" fillId="11" borderId="0" xfId="0" applyFill="1" applyBorder="1" applyProtection="1"/>
    <xf numFmtId="0" fontId="0" fillId="11" borderId="6" xfId="0" applyFill="1" applyBorder="1" applyProtection="1"/>
    <xf numFmtId="0" fontId="0" fillId="11" borderId="0" xfId="0" applyFill="1" applyProtection="1"/>
    <xf numFmtId="0" fontId="5" fillId="0" borderId="2" xfId="0" applyFont="1" applyBorder="1" applyProtection="1"/>
    <xf numFmtId="0" fontId="0" fillId="13" borderId="0" xfId="0" applyFill="1" applyBorder="1" applyProtection="1"/>
    <xf numFmtId="0" fontId="0" fillId="13" borderId="6" xfId="0" applyFill="1" applyBorder="1" applyProtection="1"/>
    <xf numFmtId="0" fontId="0" fillId="13" borderId="0" xfId="0" applyFill="1" applyProtection="1"/>
    <xf numFmtId="0" fontId="0" fillId="0" borderId="5" xfId="0" applyBorder="1" applyProtection="1"/>
    <xf numFmtId="0" fontId="0" fillId="9" borderId="0" xfId="0" applyFill="1" applyBorder="1" applyProtection="1"/>
    <xf numFmtId="0" fontId="0" fillId="9" borderId="6" xfId="0" applyFill="1" applyBorder="1" applyProtection="1"/>
    <xf numFmtId="0" fontId="0" fillId="9" borderId="0" xfId="0" applyFill="1" applyProtection="1"/>
    <xf numFmtId="0" fontId="4" fillId="8" borderId="0" xfId="0" applyFont="1" applyFill="1" applyBorder="1" applyProtection="1"/>
    <xf numFmtId="0" fontId="4" fillId="8" borderId="6" xfId="0" applyFont="1" applyFill="1" applyBorder="1" applyProtection="1"/>
    <xf numFmtId="0" fontId="4" fillId="8" borderId="0" xfId="0" applyFont="1" applyFill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" xfId="0" applyFill="1" applyBorder="1" applyProtection="1"/>
    <xf numFmtId="0" fontId="0" fillId="0" borderId="8" xfId="0" applyBorder="1" applyProtection="1"/>
    <xf numFmtId="0" fontId="0" fillId="0" borderId="8" xfId="0" applyFill="1" applyBorder="1" applyProtection="1"/>
    <xf numFmtId="0" fontId="0" fillId="14" borderId="8" xfId="0" applyFill="1" applyBorder="1" applyProtection="1"/>
    <xf numFmtId="0" fontId="0" fillId="14" borderId="9" xfId="0" applyFill="1" applyBorder="1" applyProtection="1"/>
    <xf numFmtId="0" fontId="0" fillId="14" borderId="0" xfId="0" applyFill="1" applyProtection="1"/>
    <xf numFmtId="0" fontId="0" fillId="0" borderId="7" xfId="0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left"/>
    </xf>
    <xf numFmtId="0" fontId="4" fillId="0" borderId="5" xfId="0" applyFont="1" applyBorder="1" applyProtection="1"/>
    <xf numFmtId="1" fontId="0" fillId="0" borderId="9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4" fillId="0" borderId="6" xfId="0" applyNumberFormat="1" applyFont="1" applyBorder="1" applyProtection="1"/>
    <xf numFmtId="0" fontId="4" fillId="0" borderId="0" xfId="0" quotePrefix="1" applyFont="1" applyAlignment="1" applyProtection="1">
      <alignment wrapText="1"/>
    </xf>
    <xf numFmtId="0" fontId="0" fillId="0" borderId="9" xfId="0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left"/>
    </xf>
    <xf numFmtId="0" fontId="0" fillId="0" borderId="5" xfId="0" quotePrefix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7" xfId="0" applyFont="1" applyBorder="1" applyProtection="1"/>
    <xf numFmtId="49" fontId="4" fillId="0" borderId="9" xfId="0" applyNumberFormat="1" applyFont="1" applyBorder="1" applyProtection="1"/>
    <xf numFmtId="49" fontId="4" fillId="0" borderId="6" xfId="0" applyNumberFormat="1" applyFont="1" applyFill="1" applyBorder="1" applyProtection="1"/>
    <xf numFmtId="0" fontId="4" fillId="0" borderId="2" xfId="0" applyFont="1" applyBorder="1" applyAlignment="1" applyProtection="1">
      <alignment horizontal="left"/>
    </xf>
    <xf numFmtId="0" fontId="4" fillId="0" borderId="10" xfId="0" quotePrefix="1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quotePrefix="1" applyFont="1" applyBorder="1" applyAlignment="1" applyProtection="1">
      <alignment wrapText="1"/>
    </xf>
    <xf numFmtId="0" fontId="4" fillId="0" borderId="6" xfId="0" quotePrefix="1" applyFont="1" applyBorder="1" applyAlignment="1" applyProtection="1">
      <alignment wrapText="1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4" fillId="0" borderId="0" xfId="0" quotePrefix="1" applyFont="1" applyProtection="1"/>
    <xf numFmtId="0" fontId="0" fillId="0" borderId="0" xfId="0" applyNumberForma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0" fillId="0" borderId="6" xfId="0" applyBorder="1" applyAlignment="1" applyProtection="1">
      <alignment wrapText="1"/>
    </xf>
    <xf numFmtId="49" fontId="0" fillId="0" borderId="0" xfId="0" applyNumberForma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quotePrefix="1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3" xfId="0" applyBorder="1" applyProtection="1"/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4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0" fillId="0" borderId="3" xfId="0" quotePrefix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8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center"/>
    </xf>
    <xf numFmtId="0" fontId="4" fillId="0" borderId="0" xfId="0" quotePrefix="1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/>
    </xf>
    <xf numFmtId="0" fontId="0" fillId="0" borderId="0" xfId="0" applyFont="1" applyProtection="1"/>
    <xf numFmtId="0" fontId="7" fillId="0" borderId="0" xfId="0" applyFont="1" applyProtection="1"/>
    <xf numFmtId="0" fontId="3" fillId="5" borderId="50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wrapText="1"/>
    </xf>
    <xf numFmtId="0" fontId="16" fillId="15" borderId="37" xfId="0" applyFont="1" applyFill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5" borderId="48" xfId="0" applyFont="1" applyFill="1" applyBorder="1" applyAlignment="1" applyProtection="1">
      <alignment horizontal="center" vertical="center" wrapText="1"/>
    </xf>
    <xf numFmtId="0" fontId="4" fillId="17" borderId="5" xfId="0" applyFont="1" applyFill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6" fillId="15" borderId="15" xfId="0" applyFont="1" applyFill="1" applyBorder="1" applyAlignment="1" applyProtection="1">
      <alignment horizontal="center" vertical="center"/>
    </xf>
    <xf numFmtId="0" fontId="16" fillId="15" borderId="13" xfId="0" applyFont="1" applyFill="1" applyBorder="1" applyAlignment="1" applyProtection="1">
      <alignment horizontal="center" vertical="center"/>
    </xf>
    <xf numFmtId="0" fontId="16" fillId="15" borderId="14" xfId="0" applyFont="1" applyFill="1" applyBorder="1" applyAlignment="1" applyProtection="1">
      <alignment horizontal="center" vertical="center"/>
    </xf>
    <xf numFmtId="0" fontId="16" fillId="15" borderId="2" xfId="0" applyFont="1" applyFill="1" applyBorder="1" applyAlignment="1" applyProtection="1">
      <alignment horizontal="left" vertical="center"/>
    </xf>
    <xf numFmtId="0" fontId="16" fillId="15" borderId="4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6" fillId="15" borderId="28" xfId="0" applyFont="1" applyFill="1" applyBorder="1" applyAlignment="1" applyProtection="1">
      <alignment horizontal="center" vertical="center" wrapText="1"/>
    </xf>
    <xf numFmtId="0" fontId="16" fillId="15" borderId="29" xfId="0" applyFont="1" applyFill="1" applyBorder="1" applyAlignment="1" applyProtection="1">
      <alignment horizontal="center" vertical="center" wrapText="1"/>
    </xf>
    <xf numFmtId="3" fontId="8" fillId="5" borderId="15" xfId="0" applyNumberFormat="1" applyFont="1" applyFill="1" applyBorder="1" applyAlignment="1" applyProtection="1">
      <alignment horizontal="left" vertical="center" wrapText="1"/>
    </xf>
    <xf numFmtId="3" fontId="8" fillId="5" borderId="13" xfId="0" applyNumberFormat="1" applyFont="1" applyFill="1" applyBorder="1" applyAlignment="1" applyProtection="1">
      <alignment horizontal="left" vertical="center" wrapText="1"/>
    </xf>
    <xf numFmtId="3" fontId="8" fillId="5" borderId="14" xfId="0" applyNumberFormat="1" applyFont="1" applyFill="1" applyBorder="1" applyAlignment="1" applyProtection="1">
      <alignment horizontal="left" vertical="center" wrapText="1"/>
    </xf>
    <xf numFmtId="3" fontId="8" fillId="5" borderId="21" xfId="0" applyNumberFormat="1" applyFont="1" applyFill="1" applyBorder="1" applyAlignment="1" applyProtection="1">
      <alignment horizontal="left" vertical="center" wrapText="1"/>
    </xf>
    <xf numFmtId="3" fontId="8" fillId="5" borderId="20" xfId="0" applyNumberFormat="1" applyFont="1" applyFill="1" applyBorder="1" applyAlignment="1" applyProtection="1">
      <alignment horizontal="left" vertical="center" wrapText="1"/>
    </xf>
    <xf numFmtId="3" fontId="8" fillId="5" borderId="45" xfId="0" applyNumberFormat="1" applyFont="1" applyFill="1" applyBorder="1" applyAlignment="1" applyProtection="1">
      <alignment horizontal="left" vertical="center" wrapText="1"/>
    </xf>
    <xf numFmtId="3" fontId="3" fillId="5" borderId="11" xfId="0" applyNumberFormat="1" applyFont="1" applyFill="1" applyBorder="1" applyAlignment="1" applyProtection="1">
      <alignment horizontal="center" vertical="center" wrapText="1"/>
    </xf>
    <xf numFmtId="3" fontId="3" fillId="5" borderId="12" xfId="0" applyNumberFormat="1" applyFont="1" applyFill="1" applyBorder="1" applyAlignment="1" applyProtection="1">
      <alignment horizontal="center" vertical="center" wrapText="1"/>
    </xf>
    <xf numFmtId="0" fontId="3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3" fontId="3" fillId="5" borderId="36" xfId="0" applyNumberFormat="1" applyFont="1" applyFill="1" applyBorder="1" applyAlignment="1" applyProtection="1">
      <alignment horizontal="center" vertical="center" wrapText="1"/>
    </xf>
    <xf numFmtId="3" fontId="3" fillId="5" borderId="31" xfId="0" applyNumberFormat="1" applyFont="1" applyFill="1" applyBorder="1" applyAlignment="1" applyProtection="1">
      <alignment horizontal="center" vertical="center" wrapText="1"/>
    </xf>
    <xf numFmtId="0" fontId="3" fillId="5" borderId="27" xfId="0" quotePrefix="1" applyNumberFormat="1" applyFont="1" applyFill="1" applyBorder="1" applyAlignment="1" applyProtection="1">
      <alignment horizontal="center" vertical="center" wrapText="1"/>
    </xf>
    <xf numFmtId="0" fontId="3" fillId="5" borderId="32" xfId="0" quotePrefix="1" applyNumberFormat="1" applyFont="1" applyFill="1" applyBorder="1" applyAlignment="1" applyProtection="1">
      <alignment horizontal="center" vertical="center" wrapText="1"/>
    </xf>
    <xf numFmtId="3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3" fillId="5" borderId="51" xfId="0" applyNumberFormat="1" applyFont="1" applyFill="1" applyBorder="1" applyAlignment="1" applyProtection="1">
      <alignment horizontal="center" vertical="center" wrapText="1"/>
    </xf>
    <xf numFmtId="3" fontId="13" fillId="5" borderId="7" xfId="0" applyNumberFormat="1" applyFont="1" applyFill="1" applyBorder="1" applyAlignment="1" applyProtection="1">
      <alignment horizontal="center" vertical="center" wrapText="1"/>
    </xf>
    <xf numFmtId="3" fontId="8" fillId="5" borderId="52" xfId="0" applyNumberFormat="1" applyFont="1" applyFill="1" applyBorder="1" applyAlignment="1" applyProtection="1">
      <alignment horizontal="right" vertical="center" wrapText="1"/>
    </xf>
    <xf numFmtId="3" fontId="8" fillId="5" borderId="9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6" fillId="15" borderId="38" xfId="0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5" fillId="4" borderId="28" xfId="0" applyFont="1" applyFill="1" applyBorder="1" applyAlignment="1" applyProtection="1">
      <alignment horizontal="center" wrapText="1"/>
    </xf>
    <xf numFmtId="0" fontId="16" fillId="4" borderId="29" xfId="0" applyFont="1" applyFill="1" applyBorder="1" applyAlignment="1" applyProtection="1">
      <alignment horizontal="center" wrapText="1"/>
    </xf>
    <xf numFmtId="0" fontId="16" fillId="4" borderId="30" xfId="0" applyFont="1" applyFill="1" applyBorder="1" applyAlignment="1" applyProtection="1">
      <alignment horizontal="center" wrapText="1"/>
    </xf>
    <xf numFmtId="0" fontId="15" fillId="3" borderId="33" xfId="0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 wrapText="1"/>
    </xf>
    <xf numFmtId="0" fontId="15" fillId="3" borderId="24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center" vertical="center" wrapText="1"/>
    </xf>
    <xf numFmtId="0" fontId="23" fillId="5" borderId="26" xfId="0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 applyProtection="1">
      <alignment horizontal="center" vertical="center"/>
    </xf>
    <xf numFmtId="0" fontId="23" fillId="5" borderId="24" xfId="0" applyFont="1" applyFill="1" applyBorder="1" applyAlignment="1" applyProtection="1">
      <alignment horizontal="center" vertical="center"/>
    </xf>
    <xf numFmtId="0" fontId="23" fillId="5" borderId="41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35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/>
    </xf>
    <xf numFmtId="0" fontId="22" fillId="17" borderId="0" xfId="0" applyFont="1" applyFill="1" applyAlignment="1" applyProtection="1">
      <alignment horizontal="center"/>
    </xf>
    <xf numFmtId="0" fontId="16" fillId="15" borderId="2" xfId="0" applyFont="1" applyFill="1" applyBorder="1" applyAlignment="1" applyProtection="1">
      <alignment horizontal="center" vertical="center"/>
    </xf>
    <xf numFmtId="0" fontId="16" fillId="15" borderId="3" xfId="0" applyFont="1" applyFill="1" applyBorder="1" applyAlignment="1" applyProtection="1">
      <alignment horizontal="center" vertical="center"/>
    </xf>
    <xf numFmtId="0" fontId="16" fillId="15" borderId="4" xfId="0" applyFont="1" applyFill="1" applyBorder="1" applyAlignment="1" applyProtection="1">
      <alignment horizontal="center" vertical="center"/>
    </xf>
    <xf numFmtId="0" fontId="0" fillId="15" borderId="3" xfId="0" applyFill="1" applyBorder="1" applyProtection="1"/>
    <xf numFmtId="0" fontId="0" fillId="15" borderId="4" xfId="0" applyFill="1" applyBorder="1" applyProtection="1"/>
    <xf numFmtId="0" fontId="3" fillId="5" borderId="7" xfId="0" applyFont="1" applyFill="1" applyBorder="1" applyAlignment="1" applyProtection="1">
      <alignment horizontal="center" vertical="center"/>
      <protection hidden="1"/>
    </xf>
    <xf numFmtId="0" fontId="0" fillId="5" borderId="8" xfId="0" applyFill="1" applyBorder="1" applyProtection="1"/>
    <xf numFmtId="0" fontId="0" fillId="5" borderId="9" xfId="0" applyFill="1" applyBorder="1" applyProtection="1"/>
    <xf numFmtId="0" fontId="24" fillId="4" borderId="15" xfId="0" applyFont="1" applyFill="1" applyBorder="1" applyAlignment="1" applyProtection="1">
      <alignment horizontal="center" vertical="center"/>
    </xf>
    <xf numFmtId="0" fontId="0" fillId="4" borderId="13" xfId="0" applyFill="1" applyBorder="1" applyProtection="1"/>
    <xf numFmtId="0" fontId="0" fillId="4" borderId="14" xfId="0" applyFill="1" applyBorder="1" applyProtection="1"/>
    <xf numFmtId="0" fontId="4" fillId="17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65" fontId="3" fillId="5" borderId="7" xfId="0" applyNumberFormat="1" applyFont="1" applyFill="1" applyBorder="1" applyAlignment="1" applyProtection="1">
      <alignment horizontal="center" vertical="center"/>
    </xf>
    <xf numFmtId="0" fontId="27" fillId="17" borderId="11" xfId="0" applyFont="1" applyFill="1" applyBorder="1" applyAlignment="1" applyProtection="1">
      <alignment horizontal="center" vertical="center" wrapText="1"/>
    </xf>
    <xf numFmtId="0" fontId="27" fillId="17" borderId="11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</xf>
    <xf numFmtId="0" fontId="24" fillId="4" borderId="14" xfId="0" applyFont="1" applyFill="1" applyBorder="1" applyAlignment="1" applyProtection="1">
      <alignment horizontal="center" vertical="center"/>
    </xf>
    <xf numFmtId="0" fontId="8" fillId="0" borderId="7" xfId="0" quotePrefix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15" fillId="15" borderId="2" xfId="0" applyFont="1" applyFill="1" applyBorder="1" applyAlignment="1" applyProtection="1">
      <alignment horizontal="center" vertical="center"/>
    </xf>
    <xf numFmtId="0" fontId="15" fillId="15" borderId="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5" fillId="0" borderId="7" xfId="1" applyFont="1" applyBorder="1" applyAlignment="1" applyProtection="1">
      <alignment horizontal="center" vertical="center"/>
      <protection locked="0"/>
    </xf>
    <xf numFmtId="0" fontId="25" fillId="0" borderId="9" xfId="1" applyFont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Style 1" xfId="2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border>
        <top/>
      </border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9"/>
    </tableStyle>
  </tableStyles>
  <colors>
    <mruColors>
      <color rgb="FFBADFF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romenade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6"/>
    <pageSetUpPr fitToPage="1"/>
  </sheetPr>
  <dimension ref="A1:IS91"/>
  <sheetViews>
    <sheetView showGridLines="0" tabSelected="1" topLeftCell="B2" zoomScale="68" zoomScaleNormal="68" workbookViewId="0">
      <selection activeCell="D23" sqref="D23"/>
    </sheetView>
  </sheetViews>
  <sheetFormatPr defaultColWidth="0" defaultRowHeight="0" customHeight="1" zeroHeight="1" x14ac:dyDescent="0.25"/>
  <cols>
    <col min="1" max="1" width="0.90625" style="53" customWidth="1"/>
    <col min="2" max="2" width="1.453125" style="54" customWidth="1"/>
    <col min="3" max="3" width="15.6328125" style="54" customWidth="1"/>
    <col min="4" max="4" width="30.6328125" style="54" customWidth="1"/>
    <col min="5" max="5" width="10.90625" style="79" customWidth="1"/>
    <col min="6" max="6" width="12.453125" style="79" customWidth="1"/>
    <col min="7" max="10" width="18.6328125" style="79" customWidth="1"/>
    <col min="11" max="11" width="23" style="79" customWidth="1"/>
    <col min="12" max="12" width="21.08984375" style="79" customWidth="1"/>
    <col min="13" max="13" width="18.54296875" style="54" customWidth="1"/>
    <col min="14" max="14" width="13.36328125" style="54" customWidth="1"/>
    <col min="15" max="15" width="8.54296875" style="75" customWidth="1"/>
    <col min="16" max="16" width="18.6328125" style="54" customWidth="1"/>
    <col min="17" max="17" width="1.453125" style="54" customWidth="1"/>
    <col min="18" max="18" width="1.1796875" style="54" hidden="1" customWidth="1"/>
    <col min="19" max="19" width="2.36328125" style="54" hidden="1" customWidth="1"/>
    <col min="20" max="20" width="9.36328125" style="54" hidden="1" customWidth="1"/>
    <col min="21" max="21" width="21.90625" style="54" hidden="1" customWidth="1"/>
    <col min="22" max="26" width="16.36328125" style="54" hidden="1" customWidth="1"/>
    <col min="27" max="16384" width="4.6328125" style="54" hidden="1"/>
  </cols>
  <sheetData>
    <row r="1" spans="1:253" s="53" customFormat="1" ht="13.5" hidden="1" customHeight="1" x14ac:dyDescent="0.35">
      <c r="A1" s="50"/>
      <c r="B1" s="50"/>
      <c r="C1" s="51"/>
      <c r="D1" s="51"/>
      <c r="E1" s="52"/>
      <c r="F1" s="51"/>
      <c r="G1" s="51"/>
      <c r="H1" s="51"/>
      <c r="I1" s="51"/>
      <c r="J1" s="52"/>
      <c r="K1" s="51"/>
      <c r="L1" s="51"/>
      <c r="M1" s="51"/>
      <c r="N1" s="51"/>
      <c r="O1" s="52"/>
      <c r="P1" s="51"/>
      <c r="Q1" s="50"/>
      <c r="R1" s="50"/>
      <c r="S1" s="50"/>
      <c r="T1" s="50"/>
      <c r="U1" s="50"/>
    </row>
    <row r="2" spans="1:253" ht="7.5" customHeight="1" x14ac:dyDescent="0.25">
      <c r="A2" s="50"/>
      <c r="B2" s="346">
        <f>COUNTA(C23:C61)</f>
        <v>0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50"/>
      <c r="S2" s="50"/>
      <c r="T2" s="50"/>
      <c r="U2" s="50"/>
    </row>
    <row r="3" spans="1:253" ht="5.25" customHeight="1" x14ac:dyDescent="0.35">
      <c r="A3" s="50"/>
      <c r="B3" s="55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55"/>
      <c r="R3" s="50"/>
      <c r="S3" s="50"/>
      <c r="T3" s="50"/>
      <c r="U3" s="50"/>
    </row>
    <row r="4" spans="1:253" ht="15.5" x14ac:dyDescent="0.25">
      <c r="A4" s="50"/>
      <c r="B4" s="55"/>
      <c r="C4" s="359" t="s">
        <v>938</v>
      </c>
      <c r="D4" s="356" t="str">
        <f ca="1">VLOOKUP("Player information",Zone_Traduction,ref_langue,FALSE)</f>
        <v>Player Information</v>
      </c>
      <c r="E4" s="367"/>
      <c r="F4" s="364"/>
      <c r="G4" s="356" t="str">
        <f ca="1">VLOOKUP("Army information",Zone_Traduction,ref_langue,FALSE)</f>
        <v>Army Information</v>
      </c>
      <c r="H4" s="366"/>
      <c r="I4" s="366"/>
      <c r="J4" s="367"/>
      <c r="K4" s="364"/>
      <c r="L4" s="356" t="str">
        <f ca="1">VLOOKUP("Game information",Zone_Traduction,ref_langue,FALSE)</f>
        <v>Game Information</v>
      </c>
      <c r="M4" s="357"/>
      <c r="N4" s="357"/>
      <c r="O4" s="358"/>
      <c r="P4" s="281"/>
      <c r="Q4" s="55"/>
      <c r="R4" s="50"/>
      <c r="S4" s="50"/>
      <c r="T4" s="50"/>
      <c r="U4" s="50"/>
    </row>
    <row r="5" spans="1:253" ht="18" customHeight="1" x14ac:dyDescent="0.25">
      <c r="A5" s="50"/>
      <c r="B5" s="55"/>
      <c r="C5" s="359"/>
      <c r="D5" s="348" t="str">
        <f ca="1">VLOOKUP("Name and Surname",Zone_Traduction,ref_langue,FALSE)</f>
        <v>Name and Surname</v>
      </c>
      <c r="E5" s="350"/>
      <c r="F5" s="365"/>
      <c r="G5" s="348" t="str">
        <f ca="1">VLOOKUP("Book Name",Zone_Traduction,ref_langue,FALSE)</f>
        <v>Book Name</v>
      </c>
      <c r="H5" s="349"/>
      <c r="I5" s="350"/>
      <c r="J5" s="56" t="str">
        <f ca="1">VLOOKUP("Page Number",Zone_Traduction,ref_langue,FALSE)</f>
        <v>Page Number</v>
      </c>
      <c r="K5" s="365"/>
      <c r="L5" s="348" t="str">
        <f ca="1">VLOOKUP("BG Deployment",Zone_Traduction,ref_langue,FALSE)</f>
        <v>BG Deployment</v>
      </c>
      <c r="M5" s="351"/>
      <c r="N5" s="351"/>
      <c r="O5" s="352"/>
      <c r="P5" s="281"/>
      <c r="Q5" s="55"/>
      <c r="R5" s="57"/>
      <c r="S5" s="58"/>
      <c r="T5" s="58"/>
      <c r="U5" s="58"/>
      <c r="IO5" s="2"/>
      <c r="IP5" s="2"/>
      <c r="IQ5" s="2"/>
      <c r="IR5" s="2"/>
      <c r="IS5" s="2"/>
    </row>
    <row r="6" spans="1:253" ht="15.75" customHeight="1" x14ac:dyDescent="0.25">
      <c r="A6" s="59"/>
      <c r="B6" s="55"/>
      <c r="C6" s="359"/>
      <c r="D6" s="375"/>
      <c r="E6" s="376"/>
      <c r="F6" s="365"/>
      <c r="G6" s="368"/>
      <c r="H6" s="369"/>
      <c r="I6" s="370"/>
      <c r="J6" s="45"/>
      <c r="K6" s="365"/>
      <c r="L6" s="353" t="str">
        <f ca="1">VLOOKUP(Lookup!BM7,ordre_de_marche,2)</f>
        <v>0-0-0-0</v>
      </c>
      <c r="M6" s="354"/>
      <c r="N6" s="354"/>
      <c r="O6" s="355"/>
      <c r="P6" s="281"/>
      <c r="Q6" s="55"/>
      <c r="R6" s="17"/>
      <c r="S6" s="60"/>
      <c r="T6" s="58"/>
      <c r="U6" s="58"/>
      <c r="IO6" s="2"/>
      <c r="IP6" s="2"/>
      <c r="IQ6" s="2"/>
      <c r="IR6" s="2"/>
      <c r="IS6" s="2"/>
    </row>
    <row r="7" spans="1:253" ht="15.75" customHeight="1" x14ac:dyDescent="0.25">
      <c r="A7" s="50"/>
      <c r="B7" s="55"/>
      <c r="C7" s="359"/>
      <c r="D7" s="373" t="str">
        <f ca="1">VLOOKUP("Club",Zone_Traduction,ref_langue,FALSE)</f>
        <v>Club</v>
      </c>
      <c r="E7" s="374"/>
      <c r="F7" s="365"/>
      <c r="G7" s="348" t="str">
        <f ca="1">VLOOKUP("List Name",Zone_Traduction,ref_langue,FALSE)</f>
        <v>List Name</v>
      </c>
      <c r="H7" s="349"/>
      <c r="I7" s="350"/>
      <c r="J7" s="56" t="str">
        <f ca="1">VLOOKUP("Army date",Zone_Traduction,ref_langue,FALSE)</f>
        <v>Army Date</v>
      </c>
      <c r="K7" s="365"/>
      <c r="L7" s="348" t="str">
        <f ca="1">VLOOKUP("Pre Battle Initiative Modifier",Zone_Traduction,ref_langue,FALSE)</f>
        <v>Pre Battle Initiative Modifier</v>
      </c>
      <c r="M7" s="351"/>
      <c r="N7" s="351"/>
      <c r="O7" s="352"/>
      <c r="P7" s="281"/>
      <c r="Q7" s="55"/>
      <c r="R7" s="61"/>
      <c r="S7" s="60"/>
      <c r="T7" s="58"/>
      <c r="U7" s="58"/>
      <c r="IO7" s="2"/>
      <c r="IP7" s="2"/>
      <c r="IQ7" s="2"/>
      <c r="IR7" s="2"/>
      <c r="IS7" s="2"/>
    </row>
    <row r="8" spans="1:253" ht="15.75" customHeight="1" x14ac:dyDescent="0.25">
      <c r="A8" s="59"/>
      <c r="B8" s="55"/>
      <c r="C8" s="359"/>
      <c r="D8" s="375"/>
      <c r="E8" s="376"/>
      <c r="F8" s="365"/>
      <c r="G8" s="295"/>
      <c r="H8" s="296"/>
      <c r="I8" s="297"/>
      <c r="J8" s="80"/>
      <c r="K8" s="365"/>
      <c r="L8" s="363">
        <f>Lookup!$BM$6</f>
        <v>0</v>
      </c>
      <c r="M8" s="354"/>
      <c r="N8" s="354"/>
      <c r="O8" s="355"/>
      <c r="P8" s="281"/>
      <c r="Q8" s="55"/>
      <c r="R8" s="61"/>
      <c r="S8" s="60"/>
      <c r="T8" s="58"/>
      <c r="U8" s="58"/>
      <c r="IO8" s="2"/>
      <c r="IP8" s="2"/>
      <c r="IQ8" s="2"/>
      <c r="IR8" s="2"/>
      <c r="IS8" s="2"/>
    </row>
    <row r="9" spans="1:253" ht="15.75" customHeight="1" x14ac:dyDescent="0.25">
      <c r="A9" s="50"/>
      <c r="B9" s="55"/>
      <c r="C9" s="359"/>
      <c r="D9" s="348" t="str">
        <f ca="1">VLOOKUP("e-mail",Zone_Traduction,ref_langue,FALSE)</f>
        <v>E-Mail</v>
      </c>
      <c r="E9" s="350"/>
      <c r="F9" s="365"/>
      <c r="G9" s="288" t="str">
        <f ca="1">VLOOKUP("Territory Types",Zone_Traduction,ref_langue,FALSE)</f>
        <v>Territory Types</v>
      </c>
      <c r="H9" s="289"/>
      <c r="I9" s="289"/>
      <c r="J9" s="290"/>
      <c r="K9" s="365"/>
      <c r="L9" s="101" t="s">
        <v>890</v>
      </c>
      <c r="M9" s="101" t="s">
        <v>892</v>
      </c>
      <c r="N9" s="291" t="s">
        <v>893</v>
      </c>
      <c r="O9" s="292"/>
      <c r="P9" s="281"/>
      <c r="Q9" s="55"/>
      <c r="R9" s="17"/>
      <c r="S9" s="58"/>
      <c r="T9" s="58"/>
      <c r="U9" s="58"/>
      <c r="IO9" s="2"/>
      <c r="IP9" s="2"/>
      <c r="IQ9" s="2"/>
      <c r="IR9" s="2"/>
      <c r="IS9" s="2"/>
    </row>
    <row r="10" spans="1:253" ht="15.75" customHeight="1" x14ac:dyDescent="0.25">
      <c r="A10" s="59"/>
      <c r="B10" s="55"/>
      <c r="C10" s="359"/>
      <c r="D10" s="377"/>
      <c r="E10" s="378"/>
      <c r="F10" s="365"/>
      <c r="G10" s="44" t="s">
        <v>46</v>
      </c>
      <c r="H10" s="44" t="s">
        <v>46</v>
      </c>
      <c r="I10" s="44" t="s">
        <v>46</v>
      </c>
      <c r="J10" s="44" t="s">
        <v>46</v>
      </c>
      <c r="K10" s="365"/>
      <c r="L10" s="92">
        <f ca="1">Lookup!BM7</f>
        <v>0</v>
      </c>
      <c r="M10" s="91">
        <f ca="1">Lookup!BL7</f>
        <v>0</v>
      </c>
      <c r="N10" s="293">
        <f ca="1">IFERROR(ROUNDUP(M10,0),0)</f>
        <v>0</v>
      </c>
      <c r="O10" s="294"/>
      <c r="P10" s="281"/>
      <c r="Q10" s="55"/>
      <c r="R10" s="17"/>
      <c r="S10" s="58"/>
      <c r="T10" s="58"/>
      <c r="U10" s="58"/>
      <c r="V10" s="54">
        <f ca="1">SUM($N$23:$N$61)+SUM(N16:N19)+(3*F18)+W10</f>
        <v>0</v>
      </c>
      <c r="W10" s="62">
        <f>G16</f>
        <v>0</v>
      </c>
      <c r="IO10" s="2"/>
      <c r="IP10" s="2"/>
      <c r="IQ10" s="2"/>
      <c r="IR10" s="2"/>
      <c r="IS10" s="2"/>
    </row>
    <row r="11" spans="1:253" ht="18.75" customHeight="1" x14ac:dyDescent="0.25">
      <c r="A11" s="50"/>
      <c r="B11" s="55"/>
      <c r="C11" s="359"/>
      <c r="D11" s="348" t="str">
        <f ca="1">VLOOKUP("Tel number",Zone_Traduction,ref_langue,FALSE)</f>
        <v>Tel Number</v>
      </c>
      <c r="E11" s="350"/>
      <c r="F11" s="365"/>
      <c r="G11" s="288" t="str">
        <f ca="1">VLOOKUP("Allies",Zone_Traduction,ref_langue,FALSE)</f>
        <v>Allies</v>
      </c>
      <c r="H11" s="289"/>
      <c r="I11" s="289"/>
      <c r="J11" s="290"/>
      <c r="K11" s="365"/>
      <c r="L11" s="348" t="str">
        <f ca="1">VLOOKUP("Language Option",Zone_Traduction,ref_langue,FALSE)</f>
        <v>Language Option</v>
      </c>
      <c r="M11" s="351"/>
      <c r="N11" s="351"/>
      <c r="O11" s="352"/>
      <c r="P11" s="281"/>
      <c r="Q11" s="55"/>
      <c r="R11" s="17"/>
      <c r="S11" s="58"/>
      <c r="T11" s="58"/>
      <c r="U11" s="58"/>
      <c r="IO11" s="2"/>
      <c r="IP11" s="2"/>
      <c r="IQ11" s="2"/>
      <c r="IR11" s="2"/>
      <c r="IS11" s="2"/>
    </row>
    <row r="12" spans="1:253" ht="15.75" customHeight="1" x14ac:dyDescent="0.25">
      <c r="A12" s="63"/>
      <c r="B12" s="55"/>
      <c r="C12" s="359"/>
      <c r="D12" s="371"/>
      <c r="E12" s="372"/>
      <c r="F12" s="365"/>
      <c r="G12" s="121"/>
      <c r="H12" s="122"/>
      <c r="I12" s="122"/>
      <c r="J12" s="123"/>
      <c r="K12" s="365"/>
      <c r="L12" s="360" t="s">
        <v>245</v>
      </c>
      <c r="M12" s="361"/>
      <c r="N12" s="361"/>
      <c r="O12" s="362"/>
      <c r="P12" s="281"/>
      <c r="Q12" s="55"/>
      <c r="R12" s="17"/>
      <c r="S12" s="58"/>
      <c r="T12" s="58"/>
      <c r="U12" s="58"/>
      <c r="IO12" s="2"/>
      <c r="IP12" s="2"/>
      <c r="IQ12" s="2"/>
      <c r="IR12" s="2"/>
      <c r="IS12" s="2"/>
    </row>
    <row r="13" spans="1:253" ht="5.25" customHeight="1" thickBot="1" x14ac:dyDescent="0.3">
      <c r="A13" s="63"/>
      <c r="B13" s="55"/>
      <c r="C13" s="93"/>
      <c r="D13" s="93"/>
      <c r="E13" s="94"/>
      <c r="F13" s="95"/>
      <c r="G13" s="95"/>
      <c r="H13" s="95"/>
      <c r="I13" s="94"/>
      <c r="J13" s="96"/>
      <c r="K13" s="97"/>
      <c r="L13" s="97"/>
      <c r="M13" s="98"/>
      <c r="N13" s="99"/>
      <c r="O13" s="96"/>
      <c r="P13" s="100"/>
      <c r="Q13" s="55"/>
      <c r="R13" s="17"/>
      <c r="S13" s="58"/>
      <c r="T13" s="58"/>
      <c r="U13" s="58"/>
      <c r="IO13" s="2"/>
      <c r="IP13" s="2"/>
      <c r="IQ13" s="2"/>
      <c r="IR13" s="2"/>
      <c r="IS13" s="2"/>
    </row>
    <row r="14" spans="1:253" ht="15.75" customHeight="1" thickBot="1" x14ac:dyDescent="0.3">
      <c r="A14" s="50"/>
      <c r="B14" s="55"/>
      <c r="C14" s="321" t="str">
        <f ca="1">VLOOKUP("Camp &amp; Fortifications",Zone_Traduction,ref_langue,FALSE)</f>
        <v>Camp &amp; Fortifications</v>
      </c>
      <c r="D14" s="341"/>
      <c r="E14" s="341"/>
      <c r="F14" s="341"/>
      <c r="G14" s="322"/>
      <c r="H14" s="333" t="str">
        <f ca="1">VLOOKUP("Commander Type",Zone_Traduction,ref_langue,FALSE)</f>
        <v>Commander Type</v>
      </c>
      <c r="I14" s="342"/>
      <c r="J14" s="342"/>
      <c r="K14" s="342"/>
      <c r="L14" s="342"/>
      <c r="M14" s="342"/>
      <c r="N14" s="343"/>
      <c r="O14" s="333" t="s">
        <v>26</v>
      </c>
      <c r="P14" s="334"/>
      <c r="Q14" s="55"/>
      <c r="R14" s="58"/>
      <c r="S14" s="64"/>
      <c r="T14" s="64"/>
      <c r="U14" s="65"/>
      <c r="V14" s="50"/>
      <c r="W14" s="50"/>
      <c r="X14" s="50"/>
      <c r="Y14" s="50"/>
      <c r="IO14" s="2"/>
      <c r="IP14" s="2"/>
      <c r="IQ14" s="2"/>
      <c r="IR14" s="2"/>
      <c r="IS14" s="2"/>
    </row>
    <row r="15" spans="1:253" s="69" customFormat="1" ht="15.75" customHeight="1" thickBot="1" x14ac:dyDescent="0.4">
      <c r="A15" s="66"/>
      <c r="B15" s="55"/>
      <c r="C15" s="298" t="str">
        <f ca="1">VLOOKUP("Type",Zone_Traduction,ref_langue,FALSE)</f>
        <v>Type</v>
      </c>
      <c r="D15" s="299"/>
      <c r="E15" s="277" t="str">
        <f ca="1">VLOOKUP("Fortified",Zone_Traduction,ref_langue,FALSE)</f>
        <v>Fortified</v>
      </c>
      <c r="F15" s="102" t="str">
        <f ca="1">VLOOKUP("quantity",Zone_Traduction,ref_langue,FALSE)</f>
        <v>Quantity</v>
      </c>
      <c r="G15" s="102" t="str">
        <f ca="1">VLOOKUP("Cost",Zone_Traduction,ref_langue,FALSE)</f>
        <v>Cost</v>
      </c>
      <c r="H15" s="298" t="str">
        <f ca="1">VLOOKUP("Commander Name",Zone_Traduction,ref_langue,FALSE)</f>
        <v>Commander Name</v>
      </c>
      <c r="I15" s="299"/>
      <c r="J15" s="326" t="str">
        <f ca="1">VLOOKUP("Commander Type",Zone_Traduction,ref_langue,FALSE)</f>
        <v>Commander Type</v>
      </c>
      <c r="K15" s="326"/>
      <c r="L15" s="67" t="str">
        <f ca="1">VLOOKUP("Appointment",Zone_Traduction,ref_langue,FALSE)</f>
        <v>Appointment</v>
      </c>
      <c r="M15" s="68" t="str">
        <f ca="1">VLOOKUP("Number",Zone_Traduction,ref_langue,FALSE)</f>
        <v>Number</v>
      </c>
      <c r="N15" s="68" t="str">
        <f ca="1">VLOOKUP("Cost",Zone_Traduction,ref_langue,FALSE)</f>
        <v>Cost</v>
      </c>
      <c r="O15" s="335"/>
      <c r="P15" s="336"/>
      <c r="Q15" s="55"/>
    </row>
    <row r="16" spans="1:253" s="69" customFormat="1" ht="15.75" customHeight="1" x14ac:dyDescent="0.35">
      <c r="A16" s="66"/>
      <c r="B16" s="55"/>
      <c r="C16" s="316" t="s">
        <v>906</v>
      </c>
      <c r="D16" s="318" t="s">
        <v>919</v>
      </c>
      <c r="E16" s="314" t="s">
        <v>937</v>
      </c>
      <c r="F16" s="306">
        <v>1</v>
      </c>
      <c r="G16" s="310">
        <f>IF(E16="YES",24,0)</f>
        <v>0</v>
      </c>
      <c r="H16" s="344"/>
      <c r="I16" s="345"/>
      <c r="J16" s="327" t="s">
        <v>30</v>
      </c>
      <c r="K16" s="328"/>
      <c r="L16" s="70" t="s">
        <v>74</v>
      </c>
      <c r="M16" s="70">
        <v>1</v>
      </c>
      <c r="N16" s="71">
        <f>M16*V16</f>
        <v>0</v>
      </c>
      <c r="O16" s="337">
        <f ca="1">V10</f>
        <v>0</v>
      </c>
      <c r="P16" s="338"/>
      <c r="Q16" s="55"/>
      <c r="U16" s="54">
        <f>IFERROR(VLOOKUP(J16,CmdCost,2,FALSE),0)</f>
        <v>0</v>
      </c>
      <c r="V16" s="69">
        <f>IF(L16="Ally",U16 -10,U16)</f>
        <v>0</v>
      </c>
    </row>
    <row r="17" spans="1:253" s="69" customFormat="1" ht="15.75" customHeight="1" x14ac:dyDescent="0.35">
      <c r="A17" s="66"/>
      <c r="B17" s="55"/>
      <c r="C17" s="317"/>
      <c r="D17" s="319"/>
      <c r="E17" s="315"/>
      <c r="F17" s="307"/>
      <c r="G17" s="311"/>
      <c r="H17" s="283"/>
      <c r="I17" s="284"/>
      <c r="J17" s="329" t="s">
        <v>30</v>
      </c>
      <c r="K17" s="329"/>
      <c r="L17" s="81" t="s">
        <v>30</v>
      </c>
      <c r="M17" s="274">
        <v>1</v>
      </c>
      <c r="N17" s="273">
        <f>M17*V17</f>
        <v>0</v>
      </c>
      <c r="O17" s="337"/>
      <c r="P17" s="338"/>
      <c r="Q17" s="55"/>
      <c r="U17" s="54">
        <f>IFERROR(VLOOKUP(J17,CmdCost,2,FALSE),0)</f>
        <v>0</v>
      </c>
      <c r="V17" s="69">
        <f>IF(L17="Ally",U17 -10,U17)</f>
        <v>0</v>
      </c>
    </row>
    <row r="18" spans="1:253" s="69" customFormat="1" ht="15.75" customHeight="1" x14ac:dyDescent="0.35">
      <c r="A18" s="66"/>
      <c r="B18" s="55"/>
      <c r="C18" s="300" t="str">
        <f ca="1">VLOOKUP("Total Field Fortifications",Zone_Traduction,ref_langue,FALSE)</f>
        <v>Total Field Fortifications</v>
      </c>
      <c r="D18" s="301"/>
      <c r="E18" s="302"/>
      <c r="F18" s="308">
        <v>0</v>
      </c>
      <c r="G18" s="312">
        <f>F18*3</f>
        <v>0</v>
      </c>
      <c r="H18" s="283"/>
      <c r="I18" s="284"/>
      <c r="J18" s="287" t="s">
        <v>30</v>
      </c>
      <c r="K18" s="287"/>
      <c r="L18" s="278" t="s">
        <v>30</v>
      </c>
      <c r="M18" s="274">
        <f>IF(J18&lt;&gt;"-",1,0)</f>
        <v>0</v>
      </c>
      <c r="N18" s="72">
        <f>M18*V18</f>
        <v>0</v>
      </c>
      <c r="O18" s="337"/>
      <c r="P18" s="338"/>
      <c r="Q18" s="55"/>
      <c r="U18" s="54">
        <f>IFERROR(VLOOKUP(J18,CmdCost,2,FALSE),0)</f>
        <v>0</v>
      </c>
      <c r="V18" s="69">
        <f>IF(L18="Ally",U18 -10,U18)</f>
        <v>0</v>
      </c>
    </row>
    <row r="19" spans="1:253" s="69" customFormat="1" ht="15.75" customHeight="1" thickBot="1" x14ac:dyDescent="0.4">
      <c r="A19" s="66"/>
      <c r="B19" s="55"/>
      <c r="C19" s="303"/>
      <c r="D19" s="304"/>
      <c r="E19" s="305"/>
      <c r="F19" s="309"/>
      <c r="G19" s="313"/>
      <c r="H19" s="285"/>
      <c r="I19" s="286"/>
      <c r="J19" s="282" t="s">
        <v>30</v>
      </c>
      <c r="K19" s="282"/>
      <c r="L19" s="279" t="s">
        <v>30</v>
      </c>
      <c r="M19" s="280">
        <f>IF(J19&lt;&gt;"-",1,0)</f>
        <v>0</v>
      </c>
      <c r="N19" s="73">
        <f>M19*V19</f>
        <v>0</v>
      </c>
      <c r="O19" s="339"/>
      <c r="P19" s="340"/>
      <c r="Q19" s="55"/>
      <c r="U19" s="54">
        <f>IFERROR(VLOOKUP(J19,CmdCost,2,FALSE),0)</f>
        <v>0</v>
      </c>
      <c r="V19" s="69">
        <f>IF(L19="Ally",U19 -10,U19)</f>
        <v>0</v>
      </c>
    </row>
    <row r="20" spans="1:253" s="69" customFormat="1" ht="15.75" customHeight="1" thickBot="1" x14ac:dyDescent="0.4">
      <c r="A20" s="74"/>
      <c r="B20" s="55"/>
      <c r="C20" s="330" t="str">
        <f ca="1">VLOOKUP("Troops",Zone_Traduction,ref_langue,FALSE)</f>
        <v>Troops</v>
      </c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2"/>
      <c r="Q20" s="55"/>
      <c r="U20" s="54"/>
    </row>
    <row r="21" spans="1:253" ht="15.75" customHeight="1" thickBot="1" x14ac:dyDescent="0.4">
      <c r="A21" s="46"/>
      <c r="B21" s="55"/>
      <c r="C21" s="103"/>
      <c r="D21" s="104"/>
      <c r="E21" s="323" t="str">
        <f ca="1">VLOOKUP("Characteristics",Zone_Traduction,ref_langue,FALSE)</f>
        <v>Characteristics</v>
      </c>
      <c r="F21" s="324"/>
      <c r="G21" s="324"/>
      <c r="H21" s="325"/>
      <c r="I21" s="323" t="str">
        <f ca="1">VLOOKUP("Capabilities",Zone_Traduction,ref_langue,FALSE)</f>
        <v>Capabilities</v>
      </c>
      <c r="J21" s="324"/>
      <c r="K21" s="325"/>
      <c r="L21" s="119"/>
      <c r="M21" s="321" t="str">
        <f ca="1">VLOOKUP("Cost",Zone_Traduction,ref_langue,FALSE)</f>
        <v>Cost</v>
      </c>
      <c r="N21" s="322"/>
      <c r="O21" s="321" t="str">
        <f ca="1">VLOOKUP("Deterioration",Zone_Traduction,ref_langue,FALSE)</f>
        <v>Deterioration</v>
      </c>
      <c r="P21" s="322"/>
      <c r="Q21" s="55"/>
      <c r="R21" s="58"/>
      <c r="S21" s="320"/>
      <c r="T21" s="320"/>
      <c r="V21" s="50"/>
      <c r="W21" s="50"/>
      <c r="X21" s="50"/>
      <c r="Y21" s="50"/>
      <c r="IO21" s="2"/>
      <c r="IP21" s="2"/>
      <c r="IQ21" s="2"/>
      <c r="IR21" s="2"/>
      <c r="IS21" s="2"/>
    </row>
    <row r="22" spans="1:253" s="75" customFormat="1" ht="38.25" customHeight="1" thickTop="1" thickBot="1" x14ac:dyDescent="0.3">
      <c r="A22" s="46"/>
      <c r="B22" s="55"/>
      <c r="C22" s="90" t="str">
        <f ca="1">VLOOKUP("Order of March",Zone_Traduction,ref_langue,FALSE)</f>
        <v>Order of March</v>
      </c>
      <c r="D22" s="90" t="str">
        <f ca="1">VLOOKUP("Troop Name",Zone_Traduction,ref_langue,FALSE)</f>
        <v>Troop Name</v>
      </c>
      <c r="E22" s="105" t="str">
        <f ca="1">VLOOKUP("Type",Zone_Traduction,ref_langue,FALSE)</f>
        <v>Type</v>
      </c>
      <c r="F22" s="105" t="str">
        <f ca="1">VLOOKUP("Armour",Zone_Traduction,ref_langue,FALSE)</f>
        <v>Armour</v>
      </c>
      <c r="G22" s="105" t="str">
        <f ca="1">VLOOKUP("Quality",Zone_Traduction,ref_langue,FALSE)</f>
        <v>Quality</v>
      </c>
      <c r="H22" s="105" t="str">
        <f ca="1">VLOOKUP("Training",Zone_Traduction,ref_langue,FALSE)</f>
        <v>Training</v>
      </c>
      <c r="I22" s="105" t="str">
        <f ca="1">VLOOKUP("Shooting",Zone_Traduction,ref_langue,FALSE)</f>
        <v>Shooting</v>
      </c>
      <c r="J22" s="105" t="str">
        <f ca="1">VLOOKUP("Close Combat",Zone_Traduction,ref_langue,FALSE)</f>
        <v>Close Combat</v>
      </c>
      <c r="K22" s="105" t="str">
        <f ca="1">VLOOKUP("Camelry; Port. Def.",Zone_Traduction,ref_langue,FALSE)</f>
        <v>Camelry; Port. Def.</v>
      </c>
      <c r="L22" s="120" t="str">
        <f ca="1">VLOOKUP("Number of Bases",Zone_Traduction,ref_langue,FALSE)</f>
        <v>Number of Bases</v>
      </c>
      <c r="M22" s="108" t="str">
        <f ca="1">VLOOKUP("Point per Base",Zone_Traduction,ref_langue,FALSE)</f>
        <v>Point per Base</v>
      </c>
      <c r="N22" s="109" t="str">
        <f ca="1">VLOOKUP("BG Value",Zone_Traduction,ref_langue,FALSE)</f>
        <v>BG Value</v>
      </c>
      <c r="O22" s="109" t="s">
        <v>255</v>
      </c>
      <c r="P22" s="110" t="str">
        <f ca="1">VLOOKUP("Autobreak",Zone_Traduction,ref_langue,FALSE)</f>
        <v>Autobreak</v>
      </c>
      <c r="Q22" s="55"/>
      <c r="R22" s="58"/>
      <c r="S22" s="58"/>
      <c r="T22" s="58"/>
      <c r="U22" s="54"/>
    </row>
    <row r="23" spans="1:253" ht="27" customHeight="1" x14ac:dyDescent="0.25">
      <c r="A23" s="76"/>
      <c r="B23" s="55"/>
      <c r="C23" s="84"/>
      <c r="D23" s="85"/>
      <c r="E23" s="86" t="s">
        <v>30</v>
      </c>
      <c r="F23" s="86" t="s">
        <v>30</v>
      </c>
      <c r="G23" s="86" t="s">
        <v>30</v>
      </c>
      <c r="H23" s="86" t="s">
        <v>30</v>
      </c>
      <c r="I23" s="86" t="s">
        <v>30</v>
      </c>
      <c r="J23" s="86" t="s">
        <v>30</v>
      </c>
      <c r="K23" s="86" t="s">
        <v>30</v>
      </c>
      <c r="L23" s="84"/>
      <c r="M23" s="111">
        <f t="shared" ref="M23:M61" ca="1" si="0">IFERROR(U23,0)</f>
        <v>0</v>
      </c>
      <c r="N23" s="106">
        <f t="shared" ref="N23:N61" ca="1" si="1">M23*L23</f>
        <v>0</v>
      </c>
      <c r="O23" s="107" t="str">
        <f t="shared" ref="O23:O33" si="2">IF(ISBLANK(C23),"-",IF(C23=C24,ROUNDUP((L23+L24)/4,0),IF(C23=C22,"-",ROUNDUP(L23/4,0))))</f>
        <v>-</v>
      </c>
      <c r="P23" s="112" t="str">
        <f t="shared" ref="P23:P61" ca="1" si="3">IFERROR(IF(C23=C22,"-",IF(C23=C24,VLOOKUP(G23,tableau_autobreack,MATCH((L23+L24),colonnes_autobreack,FALSE),FALSE),
VLOOKUP(G23,tableau_autobreack,MATCH(L23,colonnes_autobreack,FALSE),FALSE))),"-")</f>
        <v>-</v>
      </c>
      <c r="Q23" s="55"/>
      <c r="R23" s="58"/>
      <c r="S23" s="54">
        <f>IF(E23="SCh",1,0)</f>
        <v>0</v>
      </c>
      <c r="T23" s="54" t="str">
        <f>IF(OR($E23="HF",$E23="MF",$E23="LF"),"infanterie",
IF(OR($E23="Kn",$E23="Ct",$E23="Cv",$E23="LH",$E23="LCh",$E23="HCh",$E23="SCh",$E23="EL"),"montes",
IF(OR($E23="BWG"),"BWG",
IF(OR(E23="CAMP"),VLOOKUP("Fortified camp",Zone_Traduction,ref_langue,FALSE),
"special"))))</f>
        <v>special</v>
      </c>
      <c r="U23" s="54">
        <f ca="1">VLOOKUP($E23&amp;" "&amp;$F23,Table_budget,MATCH($G23,Colonnes_table_budget,FALSE),FALSE)
   +IF($H23=VLOOKUP("Drilled",Zone_Traduction,ref_langue,FALSE),VLOOKUP($E23&amp;" "&amp;$F23,Table_budget,MATCH(VLOOKUP("Drilled",Zone_Traduction,ref_langue,FALSE),Colonnes_table_budget,FALSE),FALSE),0)
   +IF(ISERROR(VLOOKUP(T23&amp;" "&amp;$I23,Table_armes_tir,2,FALSE)),0,VLOOKUP(T23&amp;" "&amp;$I23,Table_armes_tir,2,FALSE))
   +IF(ISERROR(VLOOKUP(T23&amp;" "&amp;$J23,Table_armes_melee,2,FALSE)),0,VLOOKUP(T23&amp;" "&amp;$J23,Table_armes_melee,2,FALSE))
   +IF(ISERROR(VLOOKUP($K23,Table_special,2,FALSE)),0,VLOOKUP($K23,Table_special,2,FALSE))</f>
        <v>0</v>
      </c>
      <c r="V23" s="54">
        <f t="shared" ref="V23:V61" ca="1" si="4">$M23*$L23</f>
        <v>0</v>
      </c>
      <c r="W23" s="53">
        <f t="shared" ref="W23:W61" si="5">IF($K23="CinC",VLOOKUP($E23,table_general,2),0)</f>
        <v>0</v>
      </c>
      <c r="X23" s="54">
        <f t="shared" ref="X23:X61" si="6">IF(OR($E23="CV",$E23="LH",$E23="LCH"),$L23,0)</f>
        <v>0</v>
      </c>
      <c r="IR23" s="53"/>
    </row>
    <row r="24" spans="1:253" ht="27" customHeight="1" x14ac:dyDescent="0.25">
      <c r="A24" s="76"/>
      <c r="B24" s="55"/>
      <c r="C24" s="84"/>
      <c r="D24" s="85"/>
      <c r="E24" s="86" t="s">
        <v>30</v>
      </c>
      <c r="F24" s="86" t="s">
        <v>30</v>
      </c>
      <c r="G24" s="86" t="s">
        <v>30</v>
      </c>
      <c r="H24" s="86" t="s">
        <v>30</v>
      </c>
      <c r="I24" s="86" t="s">
        <v>30</v>
      </c>
      <c r="J24" s="86" t="s">
        <v>30</v>
      </c>
      <c r="K24" s="86" t="s">
        <v>30</v>
      </c>
      <c r="L24" s="84"/>
      <c r="M24" s="113">
        <f t="shared" ca="1" si="0"/>
        <v>0</v>
      </c>
      <c r="N24" s="82">
        <f t="shared" ca="1" si="1"/>
        <v>0</v>
      </c>
      <c r="O24" s="83" t="str">
        <f t="shared" si="2"/>
        <v>-</v>
      </c>
      <c r="P24" s="114" t="str">
        <f t="shared" si="3"/>
        <v>-</v>
      </c>
      <c r="Q24" s="55"/>
      <c r="R24" s="58"/>
      <c r="S24" s="54">
        <f t="shared" ref="S24:S48" si="7">IF(E24="SCh",1,0)</f>
        <v>0</v>
      </c>
      <c r="T24" s="54" t="str">
        <f>IF(OR($E24="HF",$E24="MF",$E24="LF"),"infanterie",
IF(OR($E24="Kn",$E24="Ct",$E24="Cv",$E24="LH",$E24="LCh",$E24="HCh",$E24="SCh",$E24="EL"),"montes",
IF(OR($E24="BWG"),"BWG",
"special")))</f>
        <v>special</v>
      </c>
      <c r="U24" s="54">
        <f t="shared" ref="U24:U61" ca="1" si="8">VLOOKUP($E24&amp;" "&amp;$F24,Table_budget,MATCH($G24,Colonnes_table_budget,FALSE),FALSE)
   +IF($H24=VLOOKUP("Drilled",Zone_Traduction,ref_langue,FALSE),VLOOKUP($E24&amp;" "&amp;$F24,Table_budget,MATCH(VLOOKUP("Drilled",Zone_Traduction,ref_langue,FALSE),Colonnes_table_budget,FALSE),FALSE),0)
   +IF(ISERROR(VLOOKUP(T24&amp;" "&amp;$I24,Table_armes_tir,2,FALSE)),0,VLOOKUP(T24&amp;" "&amp;$I24,Table_armes_tir,2,FALSE))
   +IF(ISERROR(VLOOKUP(T24&amp;" "&amp;$J24,Table_armes_melee,2,FALSE)),0,VLOOKUP(T24&amp;" "&amp;$J24,Table_armes_melee,2,FALSE))
   +IF(ISERROR(VLOOKUP($K24,Table_special,2,FALSE)),0,VLOOKUP($K24,Table_special,2,FALSE))</f>
        <v>0</v>
      </c>
      <c r="V24" s="54">
        <f t="shared" ca="1" si="4"/>
        <v>0</v>
      </c>
      <c r="W24" s="53">
        <f t="shared" si="5"/>
        <v>0</v>
      </c>
      <c r="X24" s="54">
        <f t="shared" si="6"/>
        <v>0</v>
      </c>
      <c r="IR24" s="53"/>
    </row>
    <row r="25" spans="1:253" ht="27" customHeight="1" x14ac:dyDescent="0.25">
      <c r="A25" s="76"/>
      <c r="B25" s="55"/>
      <c r="C25" s="84"/>
      <c r="D25" s="85"/>
      <c r="E25" s="86" t="s">
        <v>30</v>
      </c>
      <c r="F25" s="86" t="s">
        <v>30</v>
      </c>
      <c r="G25" s="86" t="s">
        <v>30</v>
      </c>
      <c r="H25" s="86" t="s">
        <v>30</v>
      </c>
      <c r="I25" s="86" t="s">
        <v>30</v>
      </c>
      <c r="J25" s="86" t="s">
        <v>30</v>
      </c>
      <c r="K25" s="86" t="s">
        <v>30</v>
      </c>
      <c r="L25" s="84"/>
      <c r="M25" s="113">
        <f t="shared" ca="1" si="0"/>
        <v>0</v>
      </c>
      <c r="N25" s="82">
        <f t="shared" ca="1" si="1"/>
        <v>0</v>
      </c>
      <c r="O25" s="83" t="str">
        <f t="shared" si="2"/>
        <v>-</v>
      </c>
      <c r="P25" s="114" t="str">
        <f t="shared" si="3"/>
        <v>-</v>
      </c>
      <c r="Q25" s="55"/>
      <c r="S25" s="54">
        <f t="shared" si="7"/>
        <v>0</v>
      </c>
      <c r="T25" s="54" t="str">
        <f t="shared" ref="T25:T61" si="9">IF(OR($E25="HF",$E25="MF",$E25="LF"),"infanterie",
IF(OR($E25="Kn",$E25="Ct",$E25="Cv",$E25="LH",$E25="LCh",$E25="HCh",$E25="SCh",$E25="EL"),"montes",
IF(OR($E25="BWG"),"BWG",
"special")))</f>
        <v>special</v>
      </c>
      <c r="U25" s="54">
        <f t="shared" ca="1" si="8"/>
        <v>0</v>
      </c>
      <c r="V25" s="54">
        <f t="shared" ca="1" si="4"/>
        <v>0</v>
      </c>
      <c r="W25" s="53">
        <f t="shared" si="5"/>
        <v>0</v>
      </c>
      <c r="X25" s="54">
        <f t="shared" si="6"/>
        <v>0</v>
      </c>
      <c r="IR25" s="53"/>
    </row>
    <row r="26" spans="1:253" ht="27" customHeight="1" x14ac:dyDescent="0.25">
      <c r="A26" s="76"/>
      <c r="B26" s="55"/>
      <c r="C26" s="84"/>
      <c r="D26" s="85"/>
      <c r="E26" s="86" t="s">
        <v>30</v>
      </c>
      <c r="F26" s="86" t="s">
        <v>30</v>
      </c>
      <c r="G26" s="86" t="s">
        <v>30</v>
      </c>
      <c r="H26" s="86" t="s">
        <v>30</v>
      </c>
      <c r="I26" s="86" t="s">
        <v>30</v>
      </c>
      <c r="J26" s="86" t="s">
        <v>30</v>
      </c>
      <c r="K26" s="86" t="s">
        <v>30</v>
      </c>
      <c r="L26" s="84"/>
      <c r="M26" s="113">
        <f t="shared" ca="1" si="0"/>
        <v>0</v>
      </c>
      <c r="N26" s="82">
        <f t="shared" ca="1" si="1"/>
        <v>0</v>
      </c>
      <c r="O26" s="83" t="str">
        <f t="shared" si="2"/>
        <v>-</v>
      </c>
      <c r="P26" s="114" t="str">
        <f t="shared" si="3"/>
        <v>-</v>
      </c>
      <c r="Q26" s="55"/>
      <c r="S26" s="54">
        <f t="shared" si="7"/>
        <v>0</v>
      </c>
      <c r="T26" s="54" t="str">
        <f t="shared" si="9"/>
        <v>special</v>
      </c>
      <c r="U26" s="54">
        <f t="shared" ca="1" si="8"/>
        <v>0</v>
      </c>
      <c r="V26" s="54">
        <f t="shared" ca="1" si="4"/>
        <v>0</v>
      </c>
      <c r="W26" s="53">
        <f t="shared" si="5"/>
        <v>0</v>
      </c>
      <c r="X26" s="54">
        <f t="shared" si="6"/>
        <v>0</v>
      </c>
      <c r="IR26" s="53"/>
    </row>
    <row r="27" spans="1:253" ht="27" customHeight="1" x14ac:dyDescent="0.25">
      <c r="A27" s="76"/>
      <c r="B27" s="55"/>
      <c r="C27" s="84"/>
      <c r="D27" s="85"/>
      <c r="E27" s="86" t="s">
        <v>30</v>
      </c>
      <c r="F27" s="86" t="s">
        <v>30</v>
      </c>
      <c r="G27" s="86" t="s">
        <v>30</v>
      </c>
      <c r="H27" s="86" t="s">
        <v>30</v>
      </c>
      <c r="I27" s="86" t="s">
        <v>30</v>
      </c>
      <c r="J27" s="86" t="s">
        <v>30</v>
      </c>
      <c r="K27" s="86" t="s">
        <v>30</v>
      </c>
      <c r="L27" s="84"/>
      <c r="M27" s="113">
        <f t="shared" ca="1" si="0"/>
        <v>0</v>
      </c>
      <c r="N27" s="82">
        <f t="shared" ca="1" si="1"/>
        <v>0</v>
      </c>
      <c r="O27" s="83" t="str">
        <f t="shared" si="2"/>
        <v>-</v>
      </c>
      <c r="P27" s="114" t="str">
        <f t="shared" si="3"/>
        <v>-</v>
      </c>
      <c r="Q27" s="55"/>
      <c r="S27" s="54">
        <f t="shared" si="7"/>
        <v>0</v>
      </c>
      <c r="T27" s="54" t="str">
        <f t="shared" si="9"/>
        <v>special</v>
      </c>
      <c r="U27" s="54">
        <f t="shared" ca="1" si="8"/>
        <v>0</v>
      </c>
      <c r="V27" s="54">
        <f t="shared" ca="1" si="4"/>
        <v>0</v>
      </c>
      <c r="W27" s="53">
        <f t="shared" si="5"/>
        <v>0</v>
      </c>
      <c r="X27" s="54">
        <f t="shared" si="6"/>
        <v>0</v>
      </c>
      <c r="IR27" s="53"/>
    </row>
    <row r="28" spans="1:253" ht="27" customHeight="1" x14ac:dyDescent="0.25">
      <c r="A28" s="76"/>
      <c r="B28" s="55"/>
      <c r="C28" s="84"/>
      <c r="D28" s="85"/>
      <c r="E28" s="86" t="s">
        <v>30</v>
      </c>
      <c r="F28" s="86" t="s">
        <v>30</v>
      </c>
      <c r="G28" s="86" t="s">
        <v>30</v>
      </c>
      <c r="H28" s="86" t="s">
        <v>30</v>
      </c>
      <c r="I28" s="86" t="s">
        <v>30</v>
      </c>
      <c r="J28" s="86" t="s">
        <v>30</v>
      </c>
      <c r="K28" s="86" t="s">
        <v>30</v>
      </c>
      <c r="L28" s="84"/>
      <c r="M28" s="113">
        <f t="shared" ca="1" si="0"/>
        <v>0</v>
      </c>
      <c r="N28" s="82">
        <f t="shared" ca="1" si="1"/>
        <v>0</v>
      </c>
      <c r="O28" s="83" t="str">
        <f t="shared" si="2"/>
        <v>-</v>
      </c>
      <c r="P28" s="114" t="str">
        <f t="shared" si="3"/>
        <v>-</v>
      </c>
      <c r="Q28" s="55"/>
      <c r="S28" s="54">
        <f t="shared" si="7"/>
        <v>0</v>
      </c>
      <c r="T28" s="54" t="str">
        <f t="shared" si="9"/>
        <v>special</v>
      </c>
      <c r="U28" s="54">
        <f t="shared" ca="1" si="8"/>
        <v>0</v>
      </c>
      <c r="V28" s="54">
        <f t="shared" ca="1" si="4"/>
        <v>0</v>
      </c>
      <c r="W28" s="53">
        <f t="shared" si="5"/>
        <v>0</v>
      </c>
      <c r="X28" s="54">
        <f t="shared" si="6"/>
        <v>0</v>
      </c>
      <c r="IR28" s="53"/>
    </row>
    <row r="29" spans="1:253" ht="27" customHeight="1" x14ac:dyDescent="0.25">
      <c r="A29" s="76"/>
      <c r="B29" s="55"/>
      <c r="C29" s="84"/>
      <c r="D29" s="85"/>
      <c r="E29" s="86" t="s">
        <v>30</v>
      </c>
      <c r="F29" s="86" t="s">
        <v>30</v>
      </c>
      <c r="G29" s="86" t="s">
        <v>30</v>
      </c>
      <c r="H29" s="86" t="s">
        <v>30</v>
      </c>
      <c r="I29" s="86" t="s">
        <v>30</v>
      </c>
      <c r="J29" s="86" t="s">
        <v>30</v>
      </c>
      <c r="K29" s="86" t="s">
        <v>30</v>
      </c>
      <c r="L29" s="84"/>
      <c r="M29" s="113">
        <f t="shared" ca="1" si="0"/>
        <v>0</v>
      </c>
      <c r="N29" s="82">
        <f t="shared" ca="1" si="1"/>
        <v>0</v>
      </c>
      <c r="O29" s="83" t="str">
        <f t="shared" si="2"/>
        <v>-</v>
      </c>
      <c r="P29" s="114" t="str">
        <f t="shared" si="3"/>
        <v>-</v>
      </c>
      <c r="Q29" s="55"/>
      <c r="S29" s="54">
        <f t="shared" si="7"/>
        <v>0</v>
      </c>
      <c r="T29" s="54" t="str">
        <f t="shared" si="9"/>
        <v>special</v>
      </c>
      <c r="U29" s="54">
        <f t="shared" ca="1" si="8"/>
        <v>0</v>
      </c>
      <c r="V29" s="54">
        <f t="shared" ca="1" si="4"/>
        <v>0</v>
      </c>
      <c r="W29" s="53">
        <f t="shared" si="5"/>
        <v>0</v>
      </c>
      <c r="X29" s="54">
        <f t="shared" si="6"/>
        <v>0</v>
      </c>
      <c r="IR29" s="53"/>
    </row>
    <row r="30" spans="1:253" ht="27" customHeight="1" x14ac:dyDescent="0.25">
      <c r="A30" s="76"/>
      <c r="B30" s="55"/>
      <c r="C30" s="84"/>
      <c r="D30" s="85"/>
      <c r="E30" s="86" t="s">
        <v>30</v>
      </c>
      <c r="F30" s="86" t="s">
        <v>30</v>
      </c>
      <c r="G30" s="86" t="s">
        <v>30</v>
      </c>
      <c r="H30" s="86" t="s">
        <v>30</v>
      </c>
      <c r="I30" s="86" t="s">
        <v>30</v>
      </c>
      <c r="J30" s="86" t="s">
        <v>30</v>
      </c>
      <c r="K30" s="86" t="s">
        <v>30</v>
      </c>
      <c r="L30" s="84"/>
      <c r="M30" s="113">
        <f t="shared" ca="1" si="0"/>
        <v>0</v>
      </c>
      <c r="N30" s="82">
        <f t="shared" ca="1" si="1"/>
        <v>0</v>
      </c>
      <c r="O30" s="83" t="str">
        <f t="shared" si="2"/>
        <v>-</v>
      </c>
      <c r="P30" s="114" t="str">
        <f t="shared" si="3"/>
        <v>-</v>
      </c>
      <c r="Q30" s="55"/>
      <c r="S30" s="54">
        <f t="shared" si="7"/>
        <v>0</v>
      </c>
      <c r="T30" s="54" t="str">
        <f t="shared" si="9"/>
        <v>special</v>
      </c>
      <c r="U30" s="54">
        <f t="shared" ca="1" si="8"/>
        <v>0</v>
      </c>
      <c r="V30" s="54">
        <f t="shared" ca="1" si="4"/>
        <v>0</v>
      </c>
      <c r="W30" s="53">
        <f t="shared" si="5"/>
        <v>0</v>
      </c>
      <c r="X30" s="54">
        <f t="shared" si="6"/>
        <v>0</v>
      </c>
      <c r="IR30" s="53"/>
    </row>
    <row r="31" spans="1:253" ht="27" customHeight="1" x14ac:dyDescent="0.25">
      <c r="A31" s="76"/>
      <c r="B31" s="55"/>
      <c r="C31" s="84"/>
      <c r="D31" s="85"/>
      <c r="E31" s="86" t="s">
        <v>30</v>
      </c>
      <c r="F31" s="86" t="s">
        <v>30</v>
      </c>
      <c r="G31" s="86" t="s">
        <v>30</v>
      </c>
      <c r="H31" s="86" t="s">
        <v>30</v>
      </c>
      <c r="I31" s="86" t="s">
        <v>30</v>
      </c>
      <c r="J31" s="86" t="s">
        <v>30</v>
      </c>
      <c r="K31" s="86" t="s">
        <v>30</v>
      </c>
      <c r="L31" s="84"/>
      <c r="M31" s="113">
        <f t="shared" ca="1" si="0"/>
        <v>0</v>
      </c>
      <c r="N31" s="82">
        <f t="shared" ca="1" si="1"/>
        <v>0</v>
      </c>
      <c r="O31" s="83" t="str">
        <f t="shared" si="2"/>
        <v>-</v>
      </c>
      <c r="P31" s="114" t="str">
        <f t="shared" si="3"/>
        <v>-</v>
      </c>
      <c r="Q31" s="55"/>
      <c r="S31" s="54">
        <f t="shared" si="7"/>
        <v>0</v>
      </c>
      <c r="T31" s="54" t="str">
        <f t="shared" si="9"/>
        <v>special</v>
      </c>
      <c r="U31" s="54">
        <f t="shared" ca="1" si="8"/>
        <v>0</v>
      </c>
      <c r="V31" s="54">
        <f t="shared" ca="1" si="4"/>
        <v>0</v>
      </c>
      <c r="W31" s="53">
        <f t="shared" si="5"/>
        <v>0</v>
      </c>
      <c r="X31" s="54">
        <f t="shared" si="6"/>
        <v>0</v>
      </c>
      <c r="IR31" s="53"/>
    </row>
    <row r="32" spans="1:253" ht="27" customHeight="1" x14ac:dyDescent="0.25">
      <c r="A32" s="76"/>
      <c r="B32" s="55"/>
      <c r="C32" s="84"/>
      <c r="D32" s="85"/>
      <c r="E32" s="86" t="s">
        <v>30</v>
      </c>
      <c r="F32" s="86" t="s">
        <v>30</v>
      </c>
      <c r="G32" s="86" t="s">
        <v>30</v>
      </c>
      <c r="H32" s="86" t="s">
        <v>30</v>
      </c>
      <c r="I32" s="86" t="s">
        <v>30</v>
      </c>
      <c r="J32" s="86" t="s">
        <v>30</v>
      </c>
      <c r="K32" s="86" t="s">
        <v>30</v>
      </c>
      <c r="L32" s="84"/>
      <c r="M32" s="113">
        <f t="shared" ca="1" si="0"/>
        <v>0</v>
      </c>
      <c r="N32" s="82">
        <f t="shared" ca="1" si="1"/>
        <v>0</v>
      </c>
      <c r="O32" s="83" t="str">
        <f t="shared" si="2"/>
        <v>-</v>
      </c>
      <c r="P32" s="114" t="str">
        <f t="shared" si="3"/>
        <v>-</v>
      </c>
      <c r="Q32" s="55"/>
      <c r="S32" s="54">
        <f t="shared" si="7"/>
        <v>0</v>
      </c>
      <c r="T32" s="54" t="str">
        <f t="shared" si="9"/>
        <v>special</v>
      </c>
      <c r="U32" s="54">
        <f t="shared" ca="1" si="8"/>
        <v>0</v>
      </c>
      <c r="V32" s="54">
        <f t="shared" ca="1" si="4"/>
        <v>0</v>
      </c>
      <c r="W32" s="53">
        <f t="shared" si="5"/>
        <v>0</v>
      </c>
      <c r="X32" s="54">
        <f t="shared" si="6"/>
        <v>0</v>
      </c>
      <c r="IR32" s="53"/>
    </row>
    <row r="33" spans="1:252" ht="27" customHeight="1" x14ac:dyDescent="0.25">
      <c r="A33" s="76"/>
      <c r="B33" s="55"/>
      <c r="C33" s="84"/>
      <c r="D33" s="85"/>
      <c r="E33" s="86" t="s">
        <v>30</v>
      </c>
      <c r="F33" s="86" t="s">
        <v>30</v>
      </c>
      <c r="G33" s="86" t="s">
        <v>30</v>
      </c>
      <c r="H33" s="86" t="s">
        <v>30</v>
      </c>
      <c r="I33" s="86" t="s">
        <v>30</v>
      </c>
      <c r="J33" s="86" t="s">
        <v>30</v>
      </c>
      <c r="K33" s="86" t="s">
        <v>30</v>
      </c>
      <c r="L33" s="84"/>
      <c r="M33" s="113">
        <f t="shared" ca="1" si="0"/>
        <v>0</v>
      </c>
      <c r="N33" s="82">
        <f t="shared" ca="1" si="1"/>
        <v>0</v>
      </c>
      <c r="O33" s="83" t="str">
        <f t="shared" si="2"/>
        <v>-</v>
      </c>
      <c r="P33" s="114" t="str">
        <f t="shared" si="3"/>
        <v>-</v>
      </c>
      <c r="Q33" s="55"/>
      <c r="S33" s="54">
        <f t="shared" si="7"/>
        <v>0</v>
      </c>
      <c r="T33" s="54" t="str">
        <f t="shared" si="9"/>
        <v>special</v>
      </c>
      <c r="U33" s="54">
        <f t="shared" ca="1" si="8"/>
        <v>0</v>
      </c>
      <c r="V33" s="54">
        <f t="shared" ca="1" si="4"/>
        <v>0</v>
      </c>
      <c r="W33" s="53">
        <f t="shared" si="5"/>
        <v>0</v>
      </c>
      <c r="X33" s="54">
        <f t="shared" si="6"/>
        <v>0</v>
      </c>
      <c r="IR33" s="53"/>
    </row>
    <row r="34" spans="1:252" ht="27" customHeight="1" x14ac:dyDescent="0.25">
      <c r="A34" s="76"/>
      <c r="B34" s="55"/>
      <c r="C34" s="84"/>
      <c r="D34" s="85"/>
      <c r="E34" s="86" t="s">
        <v>30</v>
      </c>
      <c r="F34" s="86" t="s">
        <v>30</v>
      </c>
      <c r="G34" s="86" t="s">
        <v>30</v>
      </c>
      <c r="H34" s="86" t="s">
        <v>30</v>
      </c>
      <c r="I34" s="86" t="s">
        <v>30</v>
      </c>
      <c r="J34" s="86" t="s">
        <v>30</v>
      </c>
      <c r="K34" s="86" t="s">
        <v>30</v>
      </c>
      <c r="L34" s="84"/>
      <c r="M34" s="113">
        <f t="shared" ca="1" si="0"/>
        <v>0</v>
      </c>
      <c r="N34" s="82">
        <f t="shared" ca="1" si="1"/>
        <v>0</v>
      </c>
      <c r="O34" s="83" t="str">
        <f t="shared" ref="O34:O61" si="10">IF(ISBLANK(C34),"-",IF(C34=C35,ROUNDUP((L34+L35)/4,0),IF(C34=C33,"-",ROUNDUP(L34/4,0))))</f>
        <v>-</v>
      </c>
      <c r="P34" s="114" t="str">
        <f t="shared" si="3"/>
        <v>-</v>
      </c>
      <c r="Q34" s="55"/>
      <c r="S34" s="54">
        <f t="shared" si="7"/>
        <v>0</v>
      </c>
      <c r="T34" s="54" t="str">
        <f t="shared" si="9"/>
        <v>special</v>
      </c>
      <c r="U34" s="54">
        <f t="shared" ca="1" si="8"/>
        <v>0</v>
      </c>
      <c r="V34" s="54">
        <f t="shared" ca="1" si="4"/>
        <v>0</v>
      </c>
      <c r="W34" s="53">
        <f t="shared" si="5"/>
        <v>0</v>
      </c>
      <c r="X34" s="54">
        <f t="shared" si="6"/>
        <v>0</v>
      </c>
      <c r="IR34" s="53"/>
    </row>
    <row r="35" spans="1:252" ht="27" customHeight="1" x14ac:dyDescent="0.25">
      <c r="A35" s="76"/>
      <c r="B35" s="55"/>
      <c r="C35" s="84"/>
      <c r="D35" s="85"/>
      <c r="E35" s="86" t="s">
        <v>30</v>
      </c>
      <c r="F35" s="86" t="s">
        <v>30</v>
      </c>
      <c r="G35" s="86" t="s">
        <v>30</v>
      </c>
      <c r="H35" s="86" t="s">
        <v>30</v>
      </c>
      <c r="I35" s="86" t="s">
        <v>30</v>
      </c>
      <c r="J35" s="86" t="s">
        <v>30</v>
      </c>
      <c r="K35" s="86" t="s">
        <v>30</v>
      </c>
      <c r="L35" s="84"/>
      <c r="M35" s="113">
        <f t="shared" ca="1" si="0"/>
        <v>0</v>
      </c>
      <c r="N35" s="82">
        <f t="shared" ca="1" si="1"/>
        <v>0</v>
      </c>
      <c r="O35" s="83" t="str">
        <f t="shared" si="10"/>
        <v>-</v>
      </c>
      <c r="P35" s="114" t="str">
        <f t="shared" si="3"/>
        <v>-</v>
      </c>
      <c r="Q35" s="55"/>
      <c r="S35" s="54">
        <f t="shared" si="7"/>
        <v>0</v>
      </c>
      <c r="T35" s="54" t="str">
        <f t="shared" si="9"/>
        <v>special</v>
      </c>
      <c r="U35" s="54">
        <f t="shared" ca="1" si="8"/>
        <v>0</v>
      </c>
      <c r="V35" s="54">
        <f t="shared" ca="1" si="4"/>
        <v>0</v>
      </c>
      <c r="W35" s="53">
        <f t="shared" si="5"/>
        <v>0</v>
      </c>
      <c r="X35" s="54">
        <f t="shared" si="6"/>
        <v>0</v>
      </c>
      <c r="IR35" s="53"/>
    </row>
    <row r="36" spans="1:252" ht="27" customHeight="1" x14ac:dyDescent="0.25">
      <c r="A36" s="76"/>
      <c r="B36" s="55"/>
      <c r="C36" s="84"/>
      <c r="D36" s="85"/>
      <c r="E36" s="86" t="s">
        <v>30</v>
      </c>
      <c r="F36" s="86" t="s">
        <v>30</v>
      </c>
      <c r="G36" s="86" t="s">
        <v>30</v>
      </c>
      <c r="H36" s="86" t="s">
        <v>30</v>
      </c>
      <c r="I36" s="86" t="s">
        <v>30</v>
      </c>
      <c r="J36" s="86" t="s">
        <v>30</v>
      </c>
      <c r="K36" s="86" t="s">
        <v>30</v>
      </c>
      <c r="L36" s="84"/>
      <c r="M36" s="113">
        <f t="shared" ca="1" si="0"/>
        <v>0</v>
      </c>
      <c r="N36" s="82">
        <f t="shared" ca="1" si="1"/>
        <v>0</v>
      </c>
      <c r="O36" s="83" t="str">
        <f t="shared" si="10"/>
        <v>-</v>
      </c>
      <c r="P36" s="114" t="str">
        <f t="shared" si="3"/>
        <v>-</v>
      </c>
      <c r="Q36" s="55"/>
      <c r="S36" s="54">
        <f t="shared" si="7"/>
        <v>0</v>
      </c>
      <c r="T36" s="54" t="str">
        <f t="shared" si="9"/>
        <v>special</v>
      </c>
      <c r="U36" s="54">
        <f t="shared" ca="1" si="8"/>
        <v>0</v>
      </c>
      <c r="V36" s="54">
        <f t="shared" ca="1" si="4"/>
        <v>0</v>
      </c>
      <c r="W36" s="53">
        <f t="shared" si="5"/>
        <v>0</v>
      </c>
      <c r="X36" s="54">
        <f t="shared" si="6"/>
        <v>0</v>
      </c>
      <c r="IR36" s="53"/>
    </row>
    <row r="37" spans="1:252" ht="27" customHeight="1" x14ac:dyDescent="0.25">
      <c r="A37" s="76"/>
      <c r="B37" s="55"/>
      <c r="C37" s="84"/>
      <c r="D37" s="85"/>
      <c r="E37" s="86" t="s">
        <v>30</v>
      </c>
      <c r="F37" s="86" t="s">
        <v>30</v>
      </c>
      <c r="G37" s="86" t="s">
        <v>30</v>
      </c>
      <c r="H37" s="86" t="s">
        <v>30</v>
      </c>
      <c r="I37" s="86" t="s">
        <v>30</v>
      </c>
      <c r="J37" s="86" t="s">
        <v>30</v>
      </c>
      <c r="K37" s="86" t="s">
        <v>30</v>
      </c>
      <c r="L37" s="84"/>
      <c r="M37" s="113">
        <f t="shared" ca="1" si="0"/>
        <v>0</v>
      </c>
      <c r="N37" s="82">
        <f t="shared" ca="1" si="1"/>
        <v>0</v>
      </c>
      <c r="O37" s="83" t="str">
        <f t="shared" si="10"/>
        <v>-</v>
      </c>
      <c r="P37" s="114" t="str">
        <f t="shared" si="3"/>
        <v>-</v>
      </c>
      <c r="Q37" s="55"/>
      <c r="S37" s="54">
        <f t="shared" si="7"/>
        <v>0</v>
      </c>
      <c r="T37" s="54" t="str">
        <f t="shared" si="9"/>
        <v>special</v>
      </c>
      <c r="U37" s="54">
        <f t="shared" ca="1" si="8"/>
        <v>0</v>
      </c>
      <c r="V37" s="54">
        <f t="shared" ca="1" si="4"/>
        <v>0</v>
      </c>
      <c r="W37" s="53">
        <f t="shared" si="5"/>
        <v>0</v>
      </c>
      <c r="X37" s="54">
        <f t="shared" si="6"/>
        <v>0</v>
      </c>
      <c r="IR37" s="53"/>
    </row>
    <row r="38" spans="1:252" ht="27" customHeight="1" x14ac:dyDescent="0.25">
      <c r="A38" s="76"/>
      <c r="B38" s="55"/>
      <c r="C38" s="84"/>
      <c r="D38" s="85"/>
      <c r="E38" s="86" t="s">
        <v>30</v>
      </c>
      <c r="F38" s="86" t="s">
        <v>30</v>
      </c>
      <c r="G38" s="86" t="s">
        <v>30</v>
      </c>
      <c r="H38" s="86" t="s">
        <v>30</v>
      </c>
      <c r="I38" s="86" t="s">
        <v>30</v>
      </c>
      <c r="J38" s="86" t="s">
        <v>30</v>
      </c>
      <c r="K38" s="86" t="s">
        <v>30</v>
      </c>
      <c r="L38" s="84"/>
      <c r="M38" s="113">
        <f t="shared" ca="1" si="0"/>
        <v>0</v>
      </c>
      <c r="N38" s="82">
        <f t="shared" ca="1" si="1"/>
        <v>0</v>
      </c>
      <c r="O38" s="83" t="str">
        <f t="shared" si="10"/>
        <v>-</v>
      </c>
      <c r="P38" s="114" t="str">
        <f t="shared" si="3"/>
        <v>-</v>
      </c>
      <c r="Q38" s="55"/>
      <c r="S38" s="54">
        <f t="shared" si="7"/>
        <v>0</v>
      </c>
      <c r="T38" s="54" t="str">
        <f t="shared" si="9"/>
        <v>special</v>
      </c>
      <c r="U38" s="54">
        <f t="shared" ca="1" si="8"/>
        <v>0</v>
      </c>
      <c r="V38" s="54">
        <f t="shared" ca="1" si="4"/>
        <v>0</v>
      </c>
      <c r="W38" s="53">
        <f t="shared" si="5"/>
        <v>0</v>
      </c>
      <c r="X38" s="54">
        <f t="shared" si="6"/>
        <v>0</v>
      </c>
      <c r="IR38" s="53"/>
    </row>
    <row r="39" spans="1:252" ht="27" customHeight="1" x14ac:dyDescent="0.25">
      <c r="A39" s="76"/>
      <c r="B39" s="55"/>
      <c r="C39" s="84"/>
      <c r="D39" s="85"/>
      <c r="E39" s="86" t="s">
        <v>30</v>
      </c>
      <c r="F39" s="86" t="s">
        <v>30</v>
      </c>
      <c r="G39" s="86" t="s">
        <v>30</v>
      </c>
      <c r="H39" s="86" t="s">
        <v>30</v>
      </c>
      <c r="I39" s="86" t="s">
        <v>30</v>
      </c>
      <c r="J39" s="86" t="s">
        <v>30</v>
      </c>
      <c r="K39" s="86" t="s">
        <v>30</v>
      </c>
      <c r="L39" s="84"/>
      <c r="M39" s="113">
        <f t="shared" ca="1" si="0"/>
        <v>0</v>
      </c>
      <c r="N39" s="82">
        <f t="shared" ca="1" si="1"/>
        <v>0</v>
      </c>
      <c r="O39" s="83" t="str">
        <f t="shared" si="10"/>
        <v>-</v>
      </c>
      <c r="P39" s="114" t="str">
        <f t="shared" si="3"/>
        <v>-</v>
      </c>
      <c r="Q39" s="55"/>
      <c r="S39" s="54">
        <f t="shared" si="7"/>
        <v>0</v>
      </c>
      <c r="T39" s="54" t="str">
        <f t="shared" si="9"/>
        <v>special</v>
      </c>
      <c r="U39" s="54">
        <f t="shared" ca="1" si="8"/>
        <v>0</v>
      </c>
      <c r="V39" s="54">
        <f t="shared" ca="1" si="4"/>
        <v>0</v>
      </c>
      <c r="W39" s="53">
        <f t="shared" si="5"/>
        <v>0</v>
      </c>
      <c r="X39" s="54">
        <f t="shared" si="6"/>
        <v>0</v>
      </c>
      <c r="IR39" s="53"/>
    </row>
    <row r="40" spans="1:252" ht="27" customHeight="1" x14ac:dyDescent="0.25">
      <c r="A40" s="76"/>
      <c r="B40" s="55"/>
      <c r="C40" s="84"/>
      <c r="D40" s="85"/>
      <c r="E40" s="86" t="s">
        <v>30</v>
      </c>
      <c r="F40" s="86" t="s">
        <v>30</v>
      </c>
      <c r="G40" s="86" t="s">
        <v>30</v>
      </c>
      <c r="H40" s="86" t="s">
        <v>30</v>
      </c>
      <c r="I40" s="86" t="s">
        <v>30</v>
      </c>
      <c r="J40" s="86" t="s">
        <v>30</v>
      </c>
      <c r="K40" s="86" t="s">
        <v>30</v>
      </c>
      <c r="L40" s="84"/>
      <c r="M40" s="113">
        <f t="shared" ca="1" si="0"/>
        <v>0</v>
      </c>
      <c r="N40" s="82">
        <f t="shared" ca="1" si="1"/>
        <v>0</v>
      </c>
      <c r="O40" s="83" t="str">
        <f t="shared" si="10"/>
        <v>-</v>
      </c>
      <c r="P40" s="114" t="str">
        <f t="shared" si="3"/>
        <v>-</v>
      </c>
      <c r="Q40" s="55"/>
      <c r="S40" s="54">
        <f t="shared" si="7"/>
        <v>0</v>
      </c>
      <c r="T40" s="54" t="str">
        <f t="shared" si="9"/>
        <v>special</v>
      </c>
      <c r="U40" s="54">
        <f t="shared" ca="1" si="8"/>
        <v>0</v>
      </c>
      <c r="V40" s="54">
        <f t="shared" ca="1" si="4"/>
        <v>0</v>
      </c>
      <c r="W40" s="53">
        <f t="shared" si="5"/>
        <v>0</v>
      </c>
      <c r="X40" s="54">
        <f t="shared" si="6"/>
        <v>0</v>
      </c>
      <c r="IR40" s="53"/>
    </row>
    <row r="41" spans="1:252" ht="27" customHeight="1" x14ac:dyDescent="0.25">
      <c r="A41" s="76"/>
      <c r="B41" s="55"/>
      <c r="C41" s="84"/>
      <c r="D41" s="85"/>
      <c r="E41" s="86" t="s">
        <v>30</v>
      </c>
      <c r="F41" s="86" t="s">
        <v>30</v>
      </c>
      <c r="G41" s="86" t="s">
        <v>30</v>
      </c>
      <c r="H41" s="86" t="s">
        <v>30</v>
      </c>
      <c r="I41" s="86" t="s">
        <v>30</v>
      </c>
      <c r="J41" s="86" t="s">
        <v>30</v>
      </c>
      <c r="K41" s="86" t="s">
        <v>30</v>
      </c>
      <c r="L41" s="84"/>
      <c r="M41" s="113">
        <f t="shared" ca="1" si="0"/>
        <v>0</v>
      </c>
      <c r="N41" s="82">
        <f t="shared" ca="1" si="1"/>
        <v>0</v>
      </c>
      <c r="O41" s="83" t="str">
        <f t="shared" si="10"/>
        <v>-</v>
      </c>
      <c r="P41" s="114" t="str">
        <f t="shared" si="3"/>
        <v>-</v>
      </c>
      <c r="Q41" s="55"/>
      <c r="S41" s="54">
        <f t="shared" si="7"/>
        <v>0</v>
      </c>
      <c r="T41" s="54" t="str">
        <f t="shared" si="9"/>
        <v>special</v>
      </c>
      <c r="U41" s="54">
        <f t="shared" ca="1" si="8"/>
        <v>0</v>
      </c>
      <c r="V41" s="54">
        <f t="shared" ca="1" si="4"/>
        <v>0</v>
      </c>
      <c r="W41" s="53">
        <f t="shared" si="5"/>
        <v>0</v>
      </c>
      <c r="X41" s="54">
        <f t="shared" si="6"/>
        <v>0</v>
      </c>
      <c r="IR41" s="53"/>
    </row>
    <row r="42" spans="1:252" ht="27" customHeight="1" x14ac:dyDescent="0.25">
      <c r="A42" s="76"/>
      <c r="B42" s="55"/>
      <c r="C42" s="84"/>
      <c r="D42" s="85"/>
      <c r="E42" s="86" t="s">
        <v>30</v>
      </c>
      <c r="F42" s="86" t="s">
        <v>30</v>
      </c>
      <c r="G42" s="86" t="s">
        <v>30</v>
      </c>
      <c r="H42" s="86" t="s">
        <v>30</v>
      </c>
      <c r="I42" s="86" t="s">
        <v>30</v>
      </c>
      <c r="J42" s="86" t="s">
        <v>30</v>
      </c>
      <c r="K42" s="86" t="s">
        <v>30</v>
      </c>
      <c r="L42" s="84"/>
      <c r="M42" s="113">
        <f t="shared" ca="1" si="0"/>
        <v>0</v>
      </c>
      <c r="N42" s="82">
        <f t="shared" ca="1" si="1"/>
        <v>0</v>
      </c>
      <c r="O42" s="83" t="str">
        <f t="shared" si="10"/>
        <v>-</v>
      </c>
      <c r="P42" s="114" t="str">
        <f t="shared" si="3"/>
        <v>-</v>
      </c>
      <c r="Q42" s="55"/>
      <c r="S42" s="54">
        <f t="shared" si="7"/>
        <v>0</v>
      </c>
      <c r="T42" s="54" t="str">
        <f t="shared" si="9"/>
        <v>special</v>
      </c>
      <c r="U42" s="54">
        <f t="shared" ca="1" si="8"/>
        <v>0</v>
      </c>
      <c r="V42" s="54">
        <f t="shared" ca="1" si="4"/>
        <v>0</v>
      </c>
      <c r="W42" s="53">
        <f t="shared" si="5"/>
        <v>0</v>
      </c>
      <c r="X42" s="54">
        <f t="shared" si="6"/>
        <v>0</v>
      </c>
      <c r="IR42" s="53"/>
    </row>
    <row r="43" spans="1:252" ht="27" customHeight="1" x14ac:dyDescent="0.25">
      <c r="A43" s="76"/>
      <c r="B43" s="55"/>
      <c r="C43" s="84"/>
      <c r="D43" s="85"/>
      <c r="E43" s="86" t="s">
        <v>30</v>
      </c>
      <c r="F43" s="86" t="s">
        <v>30</v>
      </c>
      <c r="G43" s="86" t="s">
        <v>30</v>
      </c>
      <c r="H43" s="86" t="s">
        <v>30</v>
      </c>
      <c r="I43" s="86" t="s">
        <v>30</v>
      </c>
      <c r="J43" s="86" t="s">
        <v>30</v>
      </c>
      <c r="K43" s="86" t="s">
        <v>30</v>
      </c>
      <c r="L43" s="84"/>
      <c r="M43" s="113">
        <f t="shared" ca="1" si="0"/>
        <v>0</v>
      </c>
      <c r="N43" s="82">
        <f t="shared" ca="1" si="1"/>
        <v>0</v>
      </c>
      <c r="O43" s="83" t="str">
        <f t="shared" si="10"/>
        <v>-</v>
      </c>
      <c r="P43" s="114" t="str">
        <f t="shared" si="3"/>
        <v>-</v>
      </c>
      <c r="Q43" s="55"/>
      <c r="S43" s="54">
        <f t="shared" si="7"/>
        <v>0</v>
      </c>
      <c r="T43" s="54" t="str">
        <f t="shared" si="9"/>
        <v>special</v>
      </c>
      <c r="U43" s="54">
        <f t="shared" ca="1" si="8"/>
        <v>0</v>
      </c>
      <c r="V43" s="54">
        <f t="shared" ca="1" si="4"/>
        <v>0</v>
      </c>
      <c r="W43" s="53">
        <f t="shared" si="5"/>
        <v>0</v>
      </c>
      <c r="X43" s="54">
        <f t="shared" si="6"/>
        <v>0</v>
      </c>
      <c r="IR43" s="53"/>
    </row>
    <row r="44" spans="1:252" ht="27" customHeight="1" x14ac:dyDescent="0.25">
      <c r="A44" s="76"/>
      <c r="B44" s="55"/>
      <c r="C44" s="84"/>
      <c r="D44" s="85"/>
      <c r="E44" s="86" t="s">
        <v>30</v>
      </c>
      <c r="F44" s="86" t="s">
        <v>30</v>
      </c>
      <c r="G44" s="86" t="s">
        <v>30</v>
      </c>
      <c r="H44" s="86" t="s">
        <v>30</v>
      </c>
      <c r="I44" s="86" t="s">
        <v>30</v>
      </c>
      <c r="J44" s="86" t="s">
        <v>30</v>
      </c>
      <c r="K44" s="86" t="s">
        <v>30</v>
      </c>
      <c r="L44" s="84"/>
      <c r="M44" s="113">
        <f t="shared" ca="1" si="0"/>
        <v>0</v>
      </c>
      <c r="N44" s="82">
        <f t="shared" ca="1" si="1"/>
        <v>0</v>
      </c>
      <c r="O44" s="83" t="str">
        <f t="shared" si="10"/>
        <v>-</v>
      </c>
      <c r="P44" s="114" t="str">
        <f t="shared" si="3"/>
        <v>-</v>
      </c>
      <c r="Q44" s="55"/>
      <c r="S44" s="54">
        <f t="shared" si="7"/>
        <v>0</v>
      </c>
      <c r="T44" s="54" t="str">
        <f t="shared" si="9"/>
        <v>special</v>
      </c>
      <c r="U44" s="54">
        <f t="shared" ca="1" si="8"/>
        <v>0</v>
      </c>
      <c r="V44" s="54">
        <f t="shared" ca="1" si="4"/>
        <v>0</v>
      </c>
      <c r="W44" s="53">
        <f t="shared" si="5"/>
        <v>0</v>
      </c>
      <c r="X44" s="54">
        <f t="shared" si="6"/>
        <v>0</v>
      </c>
      <c r="IR44" s="53"/>
    </row>
    <row r="45" spans="1:252" ht="27" customHeight="1" x14ac:dyDescent="0.25">
      <c r="A45" s="76"/>
      <c r="B45" s="55"/>
      <c r="C45" s="84"/>
      <c r="D45" s="85"/>
      <c r="E45" s="86" t="s">
        <v>30</v>
      </c>
      <c r="F45" s="86" t="s">
        <v>30</v>
      </c>
      <c r="G45" s="86" t="s">
        <v>30</v>
      </c>
      <c r="H45" s="86" t="s">
        <v>30</v>
      </c>
      <c r="I45" s="86" t="s">
        <v>30</v>
      </c>
      <c r="J45" s="86" t="s">
        <v>30</v>
      </c>
      <c r="K45" s="86" t="s">
        <v>30</v>
      </c>
      <c r="L45" s="84"/>
      <c r="M45" s="113">
        <f t="shared" ca="1" si="0"/>
        <v>0</v>
      </c>
      <c r="N45" s="82">
        <f t="shared" ca="1" si="1"/>
        <v>0</v>
      </c>
      <c r="O45" s="83" t="str">
        <f t="shared" si="10"/>
        <v>-</v>
      </c>
      <c r="P45" s="114" t="str">
        <f t="shared" si="3"/>
        <v>-</v>
      </c>
      <c r="Q45" s="55"/>
      <c r="S45" s="54">
        <f t="shared" si="7"/>
        <v>0</v>
      </c>
      <c r="T45" s="54" t="str">
        <f t="shared" si="9"/>
        <v>special</v>
      </c>
      <c r="U45" s="54">
        <f t="shared" ca="1" si="8"/>
        <v>0</v>
      </c>
      <c r="V45" s="54">
        <f t="shared" ca="1" si="4"/>
        <v>0</v>
      </c>
      <c r="W45" s="53">
        <f t="shared" si="5"/>
        <v>0</v>
      </c>
      <c r="X45" s="54">
        <f t="shared" si="6"/>
        <v>0</v>
      </c>
      <c r="IR45" s="53"/>
    </row>
    <row r="46" spans="1:252" ht="27" customHeight="1" x14ac:dyDescent="0.25">
      <c r="A46" s="76"/>
      <c r="B46" s="55"/>
      <c r="C46" s="84"/>
      <c r="D46" s="85"/>
      <c r="E46" s="86" t="s">
        <v>30</v>
      </c>
      <c r="F46" s="86" t="s">
        <v>30</v>
      </c>
      <c r="G46" s="86" t="s">
        <v>30</v>
      </c>
      <c r="H46" s="86" t="s">
        <v>30</v>
      </c>
      <c r="I46" s="86" t="s">
        <v>30</v>
      </c>
      <c r="J46" s="86" t="s">
        <v>30</v>
      </c>
      <c r="K46" s="86" t="s">
        <v>30</v>
      </c>
      <c r="L46" s="84"/>
      <c r="M46" s="113">
        <f t="shared" ca="1" si="0"/>
        <v>0</v>
      </c>
      <c r="N46" s="82">
        <f t="shared" ca="1" si="1"/>
        <v>0</v>
      </c>
      <c r="O46" s="83" t="str">
        <f t="shared" si="10"/>
        <v>-</v>
      </c>
      <c r="P46" s="114" t="str">
        <f t="shared" si="3"/>
        <v>-</v>
      </c>
      <c r="Q46" s="55"/>
      <c r="S46" s="54">
        <f t="shared" si="7"/>
        <v>0</v>
      </c>
      <c r="T46" s="54" t="str">
        <f t="shared" si="9"/>
        <v>special</v>
      </c>
      <c r="U46" s="54">
        <f t="shared" ca="1" si="8"/>
        <v>0</v>
      </c>
      <c r="V46" s="54">
        <f t="shared" ca="1" si="4"/>
        <v>0</v>
      </c>
      <c r="W46" s="53">
        <f t="shared" si="5"/>
        <v>0</v>
      </c>
      <c r="X46" s="54">
        <f t="shared" si="6"/>
        <v>0</v>
      </c>
      <c r="IR46" s="53"/>
    </row>
    <row r="47" spans="1:252" ht="27" customHeight="1" x14ac:dyDescent="0.25">
      <c r="A47" s="76"/>
      <c r="B47" s="55"/>
      <c r="C47" s="84"/>
      <c r="D47" s="85"/>
      <c r="E47" s="86" t="s">
        <v>30</v>
      </c>
      <c r="F47" s="86" t="s">
        <v>30</v>
      </c>
      <c r="G47" s="86" t="s">
        <v>30</v>
      </c>
      <c r="H47" s="86" t="s">
        <v>30</v>
      </c>
      <c r="I47" s="86" t="s">
        <v>30</v>
      </c>
      <c r="J47" s="86" t="s">
        <v>30</v>
      </c>
      <c r="K47" s="86" t="s">
        <v>30</v>
      </c>
      <c r="L47" s="84"/>
      <c r="M47" s="113">
        <f t="shared" ca="1" si="0"/>
        <v>0</v>
      </c>
      <c r="N47" s="82">
        <f t="shared" ca="1" si="1"/>
        <v>0</v>
      </c>
      <c r="O47" s="83" t="str">
        <f t="shared" si="10"/>
        <v>-</v>
      </c>
      <c r="P47" s="114" t="str">
        <f t="shared" si="3"/>
        <v>-</v>
      </c>
      <c r="Q47" s="55"/>
      <c r="S47" s="54">
        <f t="shared" si="7"/>
        <v>0</v>
      </c>
      <c r="T47" s="54" t="str">
        <f t="shared" si="9"/>
        <v>special</v>
      </c>
      <c r="U47" s="54">
        <f t="shared" ca="1" si="8"/>
        <v>0</v>
      </c>
      <c r="V47" s="54">
        <f t="shared" ca="1" si="4"/>
        <v>0</v>
      </c>
      <c r="W47" s="53">
        <f t="shared" si="5"/>
        <v>0</v>
      </c>
      <c r="X47" s="54">
        <f t="shared" si="6"/>
        <v>0</v>
      </c>
      <c r="IR47" s="53"/>
    </row>
    <row r="48" spans="1:252" ht="27" customHeight="1" x14ac:dyDescent="0.25">
      <c r="A48" s="76"/>
      <c r="B48" s="55"/>
      <c r="C48" s="84"/>
      <c r="D48" s="85"/>
      <c r="E48" s="86" t="s">
        <v>30</v>
      </c>
      <c r="F48" s="86" t="s">
        <v>30</v>
      </c>
      <c r="G48" s="86" t="s">
        <v>30</v>
      </c>
      <c r="H48" s="86" t="s">
        <v>30</v>
      </c>
      <c r="I48" s="86" t="s">
        <v>30</v>
      </c>
      <c r="J48" s="86" t="s">
        <v>30</v>
      </c>
      <c r="K48" s="86" t="s">
        <v>30</v>
      </c>
      <c r="L48" s="84"/>
      <c r="M48" s="113">
        <f t="shared" ca="1" si="0"/>
        <v>0</v>
      </c>
      <c r="N48" s="82">
        <f t="shared" ca="1" si="1"/>
        <v>0</v>
      </c>
      <c r="O48" s="83" t="str">
        <f t="shared" si="10"/>
        <v>-</v>
      </c>
      <c r="P48" s="114" t="str">
        <f t="shared" si="3"/>
        <v>-</v>
      </c>
      <c r="Q48" s="55"/>
      <c r="S48" s="54">
        <f t="shared" si="7"/>
        <v>0</v>
      </c>
      <c r="T48" s="54" t="str">
        <f t="shared" si="9"/>
        <v>special</v>
      </c>
      <c r="U48" s="54">
        <f t="shared" ca="1" si="8"/>
        <v>0</v>
      </c>
      <c r="V48" s="54">
        <f t="shared" ca="1" si="4"/>
        <v>0</v>
      </c>
      <c r="W48" s="53">
        <f t="shared" si="5"/>
        <v>0</v>
      </c>
      <c r="X48" s="54">
        <f t="shared" si="6"/>
        <v>0</v>
      </c>
      <c r="IR48" s="53"/>
    </row>
    <row r="49" spans="1:252" ht="27.75" customHeight="1" x14ac:dyDescent="0.25">
      <c r="A49" s="76"/>
      <c r="B49" s="55"/>
      <c r="C49" s="84"/>
      <c r="D49" s="85"/>
      <c r="E49" s="86" t="s">
        <v>30</v>
      </c>
      <c r="F49" s="86" t="s">
        <v>30</v>
      </c>
      <c r="G49" s="86" t="s">
        <v>30</v>
      </c>
      <c r="H49" s="86" t="s">
        <v>30</v>
      </c>
      <c r="I49" s="86" t="s">
        <v>30</v>
      </c>
      <c r="J49" s="86" t="s">
        <v>30</v>
      </c>
      <c r="K49" s="86" t="s">
        <v>30</v>
      </c>
      <c r="L49" s="84"/>
      <c r="M49" s="113">
        <f t="shared" ca="1" si="0"/>
        <v>0</v>
      </c>
      <c r="N49" s="82">
        <f t="shared" ca="1" si="1"/>
        <v>0</v>
      </c>
      <c r="O49" s="83" t="str">
        <f t="shared" si="10"/>
        <v>-</v>
      </c>
      <c r="P49" s="114" t="str">
        <f t="shared" si="3"/>
        <v>-</v>
      </c>
      <c r="Q49" s="55"/>
      <c r="S49" s="54">
        <f t="shared" ref="S49:S60" si="11">IF(E49="SCh",1,0)</f>
        <v>0</v>
      </c>
      <c r="T49" s="54" t="str">
        <f t="shared" si="9"/>
        <v>special</v>
      </c>
      <c r="U49" s="54">
        <f t="shared" ca="1" si="8"/>
        <v>0</v>
      </c>
      <c r="V49" s="54">
        <f t="shared" ca="1" si="4"/>
        <v>0</v>
      </c>
      <c r="W49" s="53">
        <f t="shared" si="5"/>
        <v>0</v>
      </c>
      <c r="X49" s="54">
        <f t="shared" si="6"/>
        <v>0</v>
      </c>
      <c r="IR49" s="53"/>
    </row>
    <row r="50" spans="1:252" ht="27.75" customHeight="1" x14ac:dyDescent="0.25">
      <c r="A50" s="76"/>
      <c r="B50" s="55"/>
      <c r="C50" s="84"/>
      <c r="D50" s="85"/>
      <c r="E50" s="86" t="s">
        <v>30</v>
      </c>
      <c r="F50" s="86" t="s">
        <v>30</v>
      </c>
      <c r="G50" s="86" t="s">
        <v>30</v>
      </c>
      <c r="H50" s="86" t="s">
        <v>30</v>
      </c>
      <c r="I50" s="86" t="s">
        <v>30</v>
      </c>
      <c r="J50" s="86" t="s">
        <v>30</v>
      </c>
      <c r="K50" s="86" t="s">
        <v>30</v>
      </c>
      <c r="L50" s="84"/>
      <c r="M50" s="113">
        <f t="shared" ca="1" si="0"/>
        <v>0</v>
      </c>
      <c r="N50" s="82">
        <f t="shared" ca="1" si="1"/>
        <v>0</v>
      </c>
      <c r="O50" s="83" t="str">
        <f t="shared" si="10"/>
        <v>-</v>
      </c>
      <c r="P50" s="114" t="str">
        <f t="shared" si="3"/>
        <v>-</v>
      </c>
      <c r="Q50" s="55"/>
      <c r="S50" s="54">
        <f t="shared" si="11"/>
        <v>0</v>
      </c>
      <c r="T50" s="54" t="str">
        <f t="shared" si="9"/>
        <v>special</v>
      </c>
      <c r="U50" s="54">
        <f t="shared" ca="1" si="8"/>
        <v>0</v>
      </c>
      <c r="V50" s="54">
        <f t="shared" ca="1" si="4"/>
        <v>0</v>
      </c>
      <c r="W50" s="53">
        <f t="shared" si="5"/>
        <v>0</v>
      </c>
      <c r="X50" s="54">
        <f t="shared" si="6"/>
        <v>0</v>
      </c>
    </row>
    <row r="51" spans="1:252" ht="27.75" customHeight="1" x14ac:dyDescent="0.25">
      <c r="A51" s="76"/>
      <c r="B51" s="55"/>
      <c r="C51" s="84"/>
      <c r="D51" s="85"/>
      <c r="E51" s="86" t="s">
        <v>30</v>
      </c>
      <c r="F51" s="86" t="s">
        <v>30</v>
      </c>
      <c r="G51" s="86" t="s">
        <v>30</v>
      </c>
      <c r="H51" s="86" t="s">
        <v>30</v>
      </c>
      <c r="I51" s="86" t="s">
        <v>30</v>
      </c>
      <c r="J51" s="86" t="s">
        <v>30</v>
      </c>
      <c r="K51" s="86" t="s">
        <v>30</v>
      </c>
      <c r="L51" s="84"/>
      <c r="M51" s="113">
        <f t="shared" ca="1" si="0"/>
        <v>0</v>
      </c>
      <c r="N51" s="82">
        <f t="shared" ca="1" si="1"/>
        <v>0</v>
      </c>
      <c r="O51" s="83" t="str">
        <f t="shared" si="10"/>
        <v>-</v>
      </c>
      <c r="P51" s="114" t="str">
        <f t="shared" si="3"/>
        <v>-</v>
      </c>
      <c r="Q51" s="55"/>
      <c r="S51" s="54">
        <f t="shared" si="11"/>
        <v>0</v>
      </c>
      <c r="T51" s="54" t="str">
        <f t="shared" si="9"/>
        <v>special</v>
      </c>
      <c r="U51" s="54">
        <f t="shared" ca="1" si="8"/>
        <v>0</v>
      </c>
      <c r="V51" s="54">
        <f t="shared" ca="1" si="4"/>
        <v>0</v>
      </c>
      <c r="W51" s="53">
        <f t="shared" si="5"/>
        <v>0</v>
      </c>
      <c r="X51" s="54">
        <f t="shared" si="6"/>
        <v>0</v>
      </c>
    </row>
    <row r="52" spans="1:252" ht="27.75" customHeight="1" x14ac:dyDescent="0.25">
      <c r="A52" s="76"/>
      <c r="B52" s="55"/>
      <c r="C52" s="84"/>
      <c r="D52" s="85"/>
      <c r="E52" s="86" t="s">
        <v>30</v>
      </c>
      <c r="F52" s="86" t="s">
        <v>30</v>
      </c>
      <c r="G52" s="86" t="s">
        <v>30</v>
      </c>
      <c r="H52" s="86" t="s">
        <v>30</v>
      </c>
      <c r="I52" s="86" t="s">
        <v>30</v>
      </c>
      <c r="J52" s="86" t="s">
        <v>30</v>
      </c>
      <c r="K52" s="86" t="s">
        <v>30</v>
      </c>
      <c r="L52" s="84"/>
      <c r="M52" s="113">
        <f t="shared" ca="1" si="0"/>
        <v>0</v>
      </c>
      <c r="N52" s="82">
        <f t="shared" ca="1" si="1"/>
        <v>0</v>
      </c>
      <c r="O52" s="83" t="str">
        <f t="shared" si="10"/>
        <v>-</v>
      </c>
      <c r="P52" s="114" t="str">
        <f t="shared" si="3"/>
        <v>-</v>
      </c>
      <c r="Q52" s="55"/>
      <c r="S52" s="54">
        <f t="shared" si="11"/>
        <v>0</v>
      </c>
      <c r="T52" s="54" t="str">
        <f t="shared" si="9"/>
        <v>special</v>
      </c>
      <c r="U52" s="54">
        <f t="shared" ca="1" si="8"/>
        <v>0</v>
      </c>
      <c r="V52" s="54">
        <f t="shared" ca="1" si="4"/>
        <v>0</v>
      </c>
      <c r="W52" s="53">
        <f t="shared" si="5"/>
        <v>0</v>
      </c>
      <c r="X52" s="54">
        <f t="shared" si="6"/>
        <v>0</v>
      </c>
    </row>
    <row r="53" spans="1:252" ht="27.75" customHeight="1" x14ac:dyDescent="0.25">
      <c r="A53" s="76"/>
      <c r="B53" s="55"/>
      <c r="C53" s="84"/>
      <c r="D53" s="85"/>
      <c r="E53" s="86" t="s">
        <v>30</v>
      </c>
      <c r="F53" s="86" t="s">
        <v>30</v>
      </c>
      <c r="G53" s="86" t="s">
        <v>30</v>
      </c>
      <c r="H53" s="86" t="s">
        <v>30</v>
      </c>
      <c r="I53" s="86" t="s">
        <v>30</v>
      </c>
      <c r="J53" s="86" t="s">
        <v>30</v>
      </c>
      <c r="K53" s="86" t="s">
        <v>30</v>
      </c>
      <c r="L53" s="84"/>
      <c r="M53" s="113">
        <f t="shared" ca="1" si="0"/>
        <v>0</v>
      </c>
      <c r="N53" s="82">
        <f t="shared" ca="1" si="1"/>
        <v>0</v>
      </c>
      <c r="O53" s="83" t="str">
        <f t="shared" si="10"/>
        <v>-</v>
      </c>
      <c r="P53" s="114" t="str">
        <f t="shared" si="3"/>
        <v>-</v>
      </c>
      <c r="Q53" s="55"/>
      <c r="S53" s="54">
        <f t="shared" si="11"/>
        <v>0</v>
      </c>
      <c r="T53" s="54" t="str">
        <f t="shared" si="9"/>
        <v>special</v>
      </c>
      <c r="U53" s="54">
        <f t="shared" ca="1" si="8"/>
        <v>0</v>
      </c>
      <c r="V53" s="54">
        <f t="shared" ca="1" si="4"/>
        <v>0</v>
      </c>
      <c r="W53" s="53">
        <f t="shared" si="5"/>
        <v>0</v>
      </c>
      <c r="X53" s="54">
        <f t="shared" si="6"/>
        <v>0</v>
      </c>
    </row>
    <row r="54" spans="1:252" ht="27.75" customHeight="1" x14ac:dyDescent="0.25">
      <c r="A54" s="76"/>
      <c r="B54" s="55"/>
      <c r="C54" s="84"/>
      <c r="D54" s="85"/>
      <c r="E54" s="86" t="s">
        <v>30</v>
      </c>
      <c r="F54" s="86" t="s">
        <v>30</v>
      </c>
      <c r="G54" s="86" t="s">
        <v>30</v>
      </c>
      <c r="H54" s="86" t="s">
        <v>30</v>
      </c>
      <c r="I54" s="86" t="s">
        <v>30</v>
      </c>
      <c r="J54" s="86" t="s">
        <v>30</v>
      </c>
      <c r="K54" s="86" t="s">
        <v>30</v>
      </c>
      <c r="L54" s="84"/>
      <c r="M54" s="113">
        <f t="shared" ca="1" si="0"/>
        <v>0</v>
      </c>
      <c r="N54" s="82">
        <f t="shared" ca="1" si="1"/>
        <v>0</v>
      </c>
      <c r="O54" s="83" t="str">
        <f t="shared" si="10"/>
        <v>-</v>
      </c>
      <c r="P54" s="114" t="str">
        <f t="shared" si="3"/>
        <v>-</v>
      </c>
      <c r="Q54" s="55"/>
      <c r="S54" s="54">
        <f t="shared" si="11"/>
        <v>0</v>
      </c>
      <c r="T54" s="54" t="str">
        <f t="shared" si="9"/>
        <v>special</v>
      </c>
      <c r="U54" s="54">
        <f t="shared" ca="1" si="8"/>
        <v>0</v>
      </c>
      <c r="V54" s="54">
        <f t="shared" ca="1" si="4"/>
        <v>0</v>
      </c>
      <c r="W54" s="53">
        <f t="shared" si="5"/>
        <v>0</v>
      </c>
      <c r="X54" s="54">
        <f t="shared" si="6"/>
        <v>0</v>
      </c>
    </row>
    <row r="55" spans="1:252" ht="27.75" customHeight="1" x14ac:dyDescent="0.25">
      <c r="A55" s="76"/>
      <c r="B55" s="55"/>
      <c r="C55" s="84"/>
      <c r="D55" s="85"/>
      <c r="E55" s="86" t="s">
        <v>30</v>
      </c>
      <c r="F55" s="86" t="s">
        <v>30</v>
      </c>
      <c r="G55" s="86" t="s">
        <v>30</v>
      </c>
      <c r="H55" s="86" t="s">
        <v>30</v>
      </c>
      <c r="I55" s="86" t="s">
        <v>30</v>
      </c>
      <c r="J55" s="86" t="s">
        <v>30</v>
      </c>
      <c r="K55" s="86" t="s">
        <v>30</v>
      </c>
      <c r="L55" s="84"/>
      <c r="M55" s="113">
        <f t="shared" ca="1" si="0"/>
        <v>0</v>
      </c>
      <c r="N55" s="82">
        <f t="shared" ca="1" si="1"/>
        <v>0</v>
      </c>
      <c r="O55" s="83" t="str">
        <f t="shared" si="10"/>
        <v>-</v>
      </c>
      <c r="P55" s="114" t="str">
        <f t="shared" si="3"/>
        <v>-</v>
      </c>
      <c r="Q55" s="55"/>
      <c r="S55" s="54">
        <f t="shared" si="11"/>
        <v>0</v>
      </c>
      <c r="T55" s="54" t="str">
        <f t="shared" si="9"/>
        <v>special</v>
      </c>
      <c r="U55" s="54">
        <f t="shared" ca="1" si="8"/>
        <v>0</v>
      </c>
      <c r="V55" s="54">
        <f t="shared" ca="1" si="4"/>
        <v>0</v>
      </c>
      <c r="W55" s="53">
        <f t="shared" si="5"/>
        <v>0</v>
      </c>
      <c r="X55" s="54">
        <f t="shared" si="6"/>
        <v>0</v>
      </c>
    </row>
    <row r="56" spans="1:252" ht="27.75" customHeight="1" x14ac:dyDescent="0.25">
      <c r="A56" s="76"/>
      <c r="B56" s="55"/>
      <c r="C56" s="84"/>
      <c r="D56" s="85"/>
      <c r="E56" s="86" t="s">
        <v>30</v>
      </c>
      <c r="F56" s="86" t="s">
        <v>30</v>
      </c>
      <c r="G56" s="86" t="s">
        <v>30</v>
      </c>
      <c r="H56" s="86" t="s">
        <v>30</v>
      </c>
      <c r="I56" s="86" t="s">
        <v>30</v>
      </c>
      <c r="J56" s="86" t="s">
        <v>30</v>
      </c>
      <c r="K56" s="86" t="s">
        <v>30</v>
      </c>
      <c r="L56" s="84"/>
      <c r="M56" s="113">
        <f t="shared" ca="1" si="0"/>
        <v>0</v>
      </c>
      <c r="N56" s="82">
        <f t="shared" ca="1" si="1"/>
        <v>0</v>
      </c>
      <c r="O56" s="83" t="str">
        <f t="shared" si="10"/>
        <v>-</v>
      </c>
      <c r="P56" s="114" t="str">
        <f t="shared" si="3"/>
        <v>-</v>
      </c>
      <c r="Q56" s="55"/>
      <c r="S56" s="54">
        <f t="shared" si="11"/>
        <v>0</v>
      </c>
      <c r="T56" s="54" t="str">
        <f t="shared" si="9"/>
        <v>special</v>
      </c>
      <c r="U56" s="54">
        <f t="shared" ca="1" si="8"/>
        <v>0</v>
      </c>
      <c r="V56" s="54">
        <f t="shared" ca="1" si="4"/>
        <v>0</v>
      </c>
      <c r="W56" s="53">
        <f t="shared" si="5"/>
        <v>0</v>
      </c>
      <c r="X56" s="54">
        <f t="shared" si="6"/>
        <v>0</v>
      </c>
    </row>
    <row r="57" spans="1:252" ht="27.75" customHeight="1" x14ac:dyDescent="0.25">
      <c r="A57" s="76"/>
      <c r="B57" s="55"/>
      <c r="C57" s="84"/>
      <c r="D57" s="85"/>
      <c r="E57" s="86" t="s">
        <v>30</v>
      </c>
      <c r="F57" s="86" t="s">
        <v>30</v>
      </c>
      <c r="G57" s="86" t="s">
        <v>30</v>
      </c>
      <c r="H57" s="86" t="s">
        <v>30</v>
      </c>
      <c r="I57" s="86" t="s">
        <v>30</v>
      </c>
      <c r="J57" s="86" t="s">
        <v>30</v>
      </c>
      <c r="K57" s="86" t="s">
        <v>30</v>
      </c>
      <c r="L57" s="84"/>
      <c r="M57" s="113">
        <f t="shared" ca="1" si="0"/>
        <v>0</v>
      </c>
      <c r="N57" s="82">
        <f t="shared" ca="1" si="1"/>
        <v>0</v>
      </c>
      <c r="O57" s="83" t="str">
        <f t="shared" si="10"/>
        <v>-</v>
      </c>
      <c r="P57" s="114" t="str">
        <f t="shared" si="3"/>
        <v>-</v>
      </c>
      <c r="Q57" s="55"/>
      <c r="S57" s="54">
        <f t="shared" si="11"/>
        <v>0</v>
      </c>
      <c r="T57" s="54" t="str">
        <f t="shared" si="9"/>
        <v>special</v>
      </c>
      <c r="U57" s="54">
        <f t="shared" ca="1" si="8"/>
        <v>0</v>
      </c>
      <c r="V57" s="54">
        <f t="shared" ca="1" si="4"/>
        <v>0</v>
      </c>
      <c r="W57" s="53">
        <f t="shared" si="5"/>
        <v>0</v>
      </c>
      <c r="X57" s="54">
        <f t="shared" si="6"/>
        <v>0</v>
      </c>
    </row>
    <row r="58" spans="1:252" ht="27.75" customHeight="1" x14ac:dyDescent="0.25">
      <c r="A58" s="76"/>
      <c r="B58" s="55"/>
      <c r="C58" s="84"/>
      <c r="D58" s="85"/>
      <c r="E58" s="86" t="s">
        <v>30</v>
      </c>
      <c r="F58" s="86" t="s">
        <v>30</v>
      </c>
      <c r="G58" s="86" t="s">
        <v>30</v>
      </c>
      <c r="H58" s="86" t="s">
        <v>30</v>
      </c>
      <c r="I58" s="86" t="s">
        <v>30</v>
      </c>
      <c r="J58" s="86" t="s">
        <v>30</v>
      </c>
      <c r="K58" s="86" t="s">
        <v>30</v>
      </c>
      <c r="L58" s="84"/>
      <c r="M58" s="113">
        <f t="shared" ca="1" si="0"/>
        <v>0</v>
      </c>
      <c r="N58" s="82">
        <f t="shared" ca="1" si="1"/>
        <v>0</v>
      </c>
      <c r="O58" s="83" t="str">
        <f t="shared" si="10"/>
        <v>-</v>
      </c>
      <c r="P58" s="114" t="str">
        <f t="shared" si="3"/>
        <v>-</v>
      </c>
      <c r="Q58" s="55"/>
      <c r="S58" s="54">
        <f t="shared" si="11"/>
        <v>0</v>
      </c>
      <c r="T58" s="54" t="str">
        <f t="shared" si="9"/>
        <v>special</v>
      </c>
      <c r="U58" s="54">
        <f t="shared" ca="1" si="8"/>
        <v>0</v>
      </c>
      <c r="V58" s="54">
        <f t="shared" ca="1" si="4"/>
        <v>0</v>
      </c>
      <c r="W58" s="53">
        <f t="shared" si="5"/>
        <v>0</v>
      </c>
      <c r="X58" s="54">
        <f t="shared" si="6"/>
        <v>0</v>
      </c>
    </row>
    <row r="59" spans="1:252" ht="27.75" customHeight="1" x14ac:dyDescent="0.25">
      <c r="A59" s="76"/>
      <c r="B59" s="55"/>
      <c r="C59" s="84"/>
      <c r="D59" s="85"/>
      <c r="E59" s="86" t="s">
        <v>30</v>
      </c>
      <c r="F59" s="86" t="s">
        <v>30</v>
      </c>
      <c r="G59" s="86" t="s">
        <v>30</v>
      </c>
      <c r="H59" s="86" t="s">
        <v>30</v>
      </c>
      <c r="I59" s="86" t="s">
        <v>30</v>
      </c>
      <c r="J59" s="86" t="s">
        <v>30</v>
      </c>
      <c r="K59" s="86" t="s">
        <v>30</v>
      </c>
      <c r="L59" s="84"/>
      <c r="M59" s="113">
        <f t="shared" ca="1" si="0"/>
        <v>0</v>
      </c>
      <c r="N59" s="82">
        <f t="shared" ca="1" si="1"/>
        <v>0</v>
      </c>
      <c r="O59" s="83" t="str">
        <f t="shared" si="10"/>
        <v>-</v>
      </c>
      <c r="P59" s="114" t="str">
        <f t="shared" si="3"/>
        <v>-</v>
      </c>
      <c r="Q59" s="55"/>
      <c r="S59" s="54">
        <f t="shared" si="11"/>
        <v>0</v>
      </c>
      <c r="T59" s="54" t="str">
        <f t="shared" si="9"/>
        <v>special</v>
      </c>
      <c r="U59" s="54">
        <f t="shared" ca="1" si="8"/>
        <v>0</v>
      </c>
      <c r="V59" s="54">
        <f t="shared" ca="1" si="4"/>
        <v>0</v>
      </c>
      <c r="W59" s="53">
        <f t="shared" si="5"/>
        <v>0</v>
      </c>
      <c r="X59" s="54">
        <f t="shared" si="6"/>
        <v>0</v>
      </c>
    </row>
    <row r="60" spans="1:252" ht="27.75" customHeight="1" x14ac:dyDescent="0.25">
      <c r="A60" s="76"/>
      <c r="B60" s="55"/>
      <c r="C60" s="84"/>
      <c r="D60" s="85"/>
      <c r="E60" s="86" t="s">
        <v>30</v>
      </c>
      <c r="F60" s="86" t="s">
        <v>30</v>
      </c>
      <c r="G60" s="86" t="s">
        <v>30</v>
      </c>
      <c r="H60" s="86" t="s">
        <v>30</v>
      </c>
      <c r="I60" s="86" t="s">
        <v>30</v>
      </c>
      <c r="J60" s="86" t="s">
        <v>30</v>
      </c>
      <c r="K60" s="86" t="s">
        <v>30</v>
      </c>
      <c r="L60" s="84"/>
      <c r="M60" s="113">
        <f t="shared" ca="1" si="0"/>
        <v>0</v>
      </c>
      <c r="N60" s="82">
        <f t="shared" ca="1" si="1"/>
        <v>0</v>
      </c>
      <c r="O60" s="83" t="str">
        <f t="shared" si="10"/>
        <v>-</v>
      </c>
      <c r="P60" s="114" t="str">
        <f t="shared" si="3"/>
        <v>-</v>
      </c>
      <c r="Q60" s="55"/>
      <c r="S60" s="54">
        <f t="shared" si="11"/>
        <v>0</v>
      </c>
      <c r="T60" s="54" t="str">
        <f t="shared" si="9"/>
        <v>special</v>
      </c>
      <c r="U60" s="54">
        <f t="shared" ca="1" si="8"/>
        <v>0</v>
      </c>
      <c r="V60" s="54">
        <f t="shared" ca="1" si="4"/>
        <v>0</v>
      </c>
      <c r="W60" s="53">
        <f t="shared" si="5"/>
        <v>0</v>
      </c>
      <c r="X60" s="54">
        <f t="shared" si="6"/>
        <v>0</v>
      </c>
    </row>
    <row r="61" spans="1:252" ht="28.5" customHeight="1" thickBot="1" x14ac:dyDescent="0.3">
      <c r="A61" s="76"/>
      <c r="B61" s="55"/>
      <c r="C61" s="87"/>
      <c r="D61" s="88"/>
      <c r="E61" s="89" t="s">
        <v>30</v>
      </c>
      <c r="F61" s="89" t="s">
        <v>30</v>
      </c>
      <c r="G61" s="89" t="s">
        <v>30</v>
      </c>
      <c r="H61" s="89" t="s">
        <v>30</v>
      </c>
      <c r="I61" s="89" t="s">
        <v>30</v>
      </c>
      <c r="J61" s="89" t="s">
        <v>30</v>
      </c>
      <c r="K61" s="89" t="s">
        <v>30</v>
      </c>
      <c r="L61" s="87"/>
      <c r="M61" s="115">
        <f t="shared" ca="1" si="0"/>
        <v>0</v>
      </c>
      <c r="N61" s="116">
        <f t="shared" ca="1" si="1"/>
        <v>0</v>
      </c>
      <c r="O61" s="117" t="str">
        <f t="shared" si="10"/>
        <v>-</v>
      </c>
      <c r="P61" s="118" t="str">
        <f t="shared" si="3"/>
        <v>-</v>
      </c>
      <c r="Q61" s="55"/>
      <c r="S61" s="54">
        <f>IF(E61="SCh",1,0)</f>
        <v>0</v>
      </c>
      <c r="T61" s="54" t="str">
        <f t="shared" si="9"/>
        <v>special</v>
      </c>
      <c r="U61" s="54">
        <f t="shared" ca="1" si="8"/>
        <v>0</v>
      </c>
      <c r="V61" s="54">
        <f t="shared" ca="1" si="4"/>
        <v>0</v>
      </c>
      <c r="W61" s="53">
        <f t="shared" si="5"/>
        <v>0</v>
      </c>
      <c r="X61" s="54">
        <f t="shared" si="6"/>
        <v>0</v>
      </c>
    </row>
    <row r="62" spans="1:252" ht="5.25" customHeight="1" x14ac:dyDescent="0.25">
      <c r="A62" s="50"/>
      <c r="B62" s="55"/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55"/>
      <c r="N62" s="55"/>
      <c r="O62" s="55"/>
      <c r="P62" s="275" t="s">
        <v>905</v>
      </c>
      <c r="Q62" s="55"/>
      <c r="R62" s="53"/>
    </row>
    <row r="63" spans="1:252" ht="11.25" hidden="1" customHeight="1" x14ac:dyDescent="0.25"/>
    <row r="64" spans="1:252" ht="11.25" hidden="1" customHeight="1" x14ac:dyDescent="0.25"/>
    <row r="65" ht="11.25" hidden="1" customHeight="1" x14ac:dyDescent="0.25"/>
    <row r="66" ht="11.25" hidden="1" customHeight="1" x14ac:dyDescent="0.25"/>
    <row r="67" ht="11.25" hidden="1" customHeight="1" x14ac:dyDescent="0.25"/>
    <row r="68" ht="11.25" hidden="1" customHeight="1" x14ac:dyDescent="0.25"/>
    <row r="69" ht="11.25" hidden="1" customHeight="1" x14ac:dyDescent="0.25"/>
    <row r="70" ht="11.25" hidden="1" customHeight="1" x14ac:dyDescent="0.25"/>
    <row r="71" ht="11.25" hidden="1" customHeight="1" x14ac:dyDescent="0.25"/>
    <row r="72" ht="11.25" hidden="1" customHeight="1" x14ac:dyDescent="0.25"/>
    <row r="73" ht="11.25" hidden="1" customHeight="1" x14ac:dyDescent="0.25"/>
    <row r="74" ht="11.25" hidden="1" customHeight="1" x14ac:dyDescent="0.25"/>
    <row r="75" ht="11.25" hidden="1" customHeight="1" x14ac:dyDescent="0.25"/>
    <row r="76" ht="11.25" hidden="1" customHeight="1" x14ac:dyDescent="0.25"/>
    <row r="77" ht="11.25" hidden="1" customHeight="1" x14ac:dyDescent="0.25"/>
    <row r="78" ht="11.25" hidden="1" customHeight="1" x14ac:dyDescent="0.25"/>
    <row r="79" ht="11.25" hidden="1" customHeight="1" x14ac:dyDescent="0.25"/>
    <row r="80" ht="11.25" hidden="1" customHeight="1" x14ac:dyDescent="0.25"/>
    <row r="81" ht="11.25" hidden="1" customHeight="1" x14ac:dyDescent="0.25"/>
    <row r="82" ht="11.25" hidden="1" customHeight="1" x14ac:dyDescent="0.25"/>
    <row r="83" ht="11.25" hidden="1" customHeight="1" x14ac:dyDescent="0.25"/>
    <row r="84" ht="11.25" hidden="1" customHeight="1" x14ac:dyDescent="0.25"/>
    <row r="85" ht="11.25" hidden="1" customHeight="1" x14ac:dyDescent="0.25"/>
    <row r="86" ht="11.25" hidden="1" customHeight="1" x14ac:dyDescent="0.25"/>
    <row r="87" ht="11.25" hidden="1" customHeight="1" x14ac:dyDescent="0.25"/>
    <row r="88" ht="11.25" hidden="1" customHeight="1" x14ac:dyDescent="0.25"/>
    <row r="89" ht="11.25" hidden="1" customHeight="1" x14ac:dyDescent="0.25"/>
    <row r="90" ht="11.25" hidden="1" customHeight="1" x14ac:dyDescent="0.25"/>
    <row r="91" ht="13.5" hidden="1" customHeight="1" x14ac:dyDescent="0.25"/>
  </sheetData>
  <sheetProtection sheet="1" formatCells="0" formatColumns="0" formatRows="0" sort="0" autoFilter="0"/>
  <protectedRanges>
    <protectedRange sqref="C22:L61" name="Range1"/>
  </protectedRanges>
  <autoFilter ref="C22:L61" xr:uid="{00000000-0009-0000-0000-000000000000}">
    <sortState xmlns:xlrd2="http://schemas.microsoft.com/office/spreadsheetml/2017/richdata2" ref="C23:L61">
      <sortCondition ref="C22:C61"/>
    </sortState>
  </autoFilter>
  <mergeCells count="60">
    <mergeCell ref="D11:E11"/>
    <mergeCell ref="D12:E12"/>
    <mergeCell ref="F4:F12"/>
    <mergeCell ref="D4:E4"/>
    <mergeCell ref="D7:E7"/>
    <mergeCell ref="D8:E8"/>
    <mergeCell ref="D6:E6"/>
    <mergeCell ref="D9:E9"/>
    <mergeCell ref="D10:E10"/>
    <mergeCell ref="B2:Q2"/>
    <mergeCell ref="C3:P3"/>
    <mergeCell ref="G7:I7"/>
    <mergeCell ref="L5:O5"/>
    <mergeCell ref="L6:O6"/>
    <mergeCell ref="L7:O7"/>
    <mergeCell ref="L4:O4"/>
    <mergeCell ref="D5:E5"/>
    <mergeCell ref="C4:C12"/>
    <mergeCell ref="L11:O11"/>
    <mergeCell ref="L12:O12"/>
    <mergeCell ref="L8:O8"/>
    <mergeCell ref="K4:K12"/>
    <mergeCell ref="G4:J4"/>
    <mergeCell ref="G5:I5"/>
    <mergeCell ref="G6:I6"/>
    <mergeCell ref="S21:T21"/>
    <mergeCell ref="O21:P21"/>
    <mergeCell ref="E21:H21"/>
    <mergeCell ref="I21:K21"/>
    <mergeCell ref="J15:K15"/>
    <mergeCell ref="J16:K16"/>
    <mergeCell ref="J17:K17"/>
    <mergeCell ref="H18:I18"/>
    <mergeCell ref="H15:I15"/>
    <mergeCell ref="M21:N21"/>
    <mergeCell ref="C20:P20"/>
    <mergeCell ref="O14:P15"/>
    <mergeCell ref="O16:P19"/>
    <mergeCell ref="C14:G14"/>
    <mergeCell ref="H14:N14"/>
    <mergeCell ref="H16:I16"/>
    <mergeCell ref="C15:D15"/>
    <mergeCell ref="C18:E19"/>
    <mergeCell ref="F16:F17"/>
    <mergeCell ref="F18:F19"/>
    <mergeCell ref="G16:G17"/>
    <mergeCell ref="G18:G19"/>
    <mergeCell ref="E16:E17"/>
    <mergeCell ref="C16:C17"/>
    <mergeCell ref="D16:D17"/>
    <mergeCell ref="P4:P12"/>
    <mergeCell ref="J19:K19"/>
    <mergeCell ref="H17:I17"/>
    <mergeCell ref="H19:I19"/>
    <mergeCell ref="J18:K18"/>
    <mergeCell ref="G11:J11"/>
    <mergeCell ref="N9:O9"/>
    <mergeCell ref="N10:O10"/>
    <mergeCell ref="G8:I8"/>
    <mergeCell ref="G9:J9"/>
  </mergeCells>
  <phoneticPr fontId="0" type="noConversion"/>
  <conditionalFormatting sqref="J16:K17">
    <cfRule type="cellIs" dxfId="8" priority="9" operator="equal">
      <formula>"-"</formula>
    </cfRule>
  </conditionalFormatting>
  <conditionalFormatting sqref="C23:L61">
    <cfRule type="expression" dxfId="7" priority="5" stopIfTrue="1">
      <formula>$C23=0</formula>
    </cfRule>
    <cfRule type="expression" dxfId="6" priority="6" stopIfTrue="1">
      <formula>$C23&lt;=VALUE(LEFT($L$6,1))</formula>
    </cfRule>
    <cfRule type="expression" dxfId="5" priority="7" stopIfTrue="1">
      <formula>$C23&lt;=VALUE(LEFT($L$6,1))+VALUE(MID($L$6,3,1))</formula>
    </cfRule>
    <cfRule type="expression" dxfId="4" priority="8">
      <formula>$C23&lt;=VALUE(LEFT($L$6,1))+VALUE(MID($L$6,3,1))+VALUE(MID($L$6,5,1))</formula>
    </cfRule>
  </conditionalFormatting>
  <conditionalFormatting sqref="J6">
    <cfRule type="cellIs" dxfId="3" priority="4" operator="equal">
      <formula>0</formula>
    </cfRule>
  </conditionalFormatting>
  <conditionalFormatting sqref="G6:I6">
    <cfRule type="cellIs" dxfId="2" priority="3" operator="equal">
      <formula>0</formula>
    </cfRule>
  </conditionalFormatting>
  <conditionalFormatting sqref="G8:I8">
    <cfRule type="cellIs" dxfId="1" priority="2" operator="equal">
      <formula>0</formula>
    </cfRule>
  </conditionalFormatting>
  <conditionalFormatting sqref="J8">
    <cfRule type="cellIs" dxfId="0" priority="1" operator="equal">
      <formula>0</formula>
    </cfRule>
  </conditionalFormatting>
  <dataValidations count="15">
    <dataValidation type="list" allowBlank="1" showInputMessage="1" showErrorMessage="1" sqref="I23:I61" xr:uid="{00000000-0002-0000-0000-000000000000}">
      <formula1>IF(E23="cv",CavMiss,IF(OR(E23="ct",E23="HF"),CatMiss,IF(OR(E23="hf",E23="-",E23="kn",E23="ct",E23="el",E23="SCh",E23="lart",E23="hart"),NoType,IF(OR(E23="LCh",E23="Hch",E23="LH"),LHMiss,IF(E23="BWG",BWGMiss,FootMiss)))))</formula1>
    </dataValidation>
    <dataValidation type="list" allowBlank="1" showInputMessage="1" showErrorMessage="1" sqref="G23:G61" xr:uid="{00000000-0002-0000-0000-000001000000}">
      <formula1>IF(E23="-",NoType,IF(E23="el",ElQual,IF(E23="mob",MobQual,IF(OR(E23="sch",E23="lart",E23="hart"),AvQual,AllQual))))</formula1>
    </dataValidation>
    <dataValidation type="list" allowBlank="1" showInputMessage="1" showErrorMessage="1" sqref="H23:H61" xr:uid="{00000000-0002-0000-0000-000002000000}">
      <formula1>IF(OR(E23="el",E23="mob",E23="sch"),Undrilled,Training)</formula1>
    </dataValidation>
    <dataValidation type="list" allowBlank="1" showInputMessage="1" showErrorMessage="1" sqref="F23:F61" xr:uid="{00000000-0002-0000-0000-000003000000}">
      <formula1>IF(OR(E23="-",E23="lch",E23="hch",E23="sch",E23="el",E23="hart",E23="lart",E23="bwg"),NoType,IF(E23="CT",CatArmr,IF(E23="kn",KnArmr,IF(OR(E23="cv",E23="LH",E23="LF",E23="mob"),CavArmr,AllArmour))))</formula1>
    </dataValidation>
    <dataValidation type="list" allowBlank="1" showInputMessage="1" showErrorMessage="1" sqref="J23:J61" xr:uid="{00000000-0002-0000-0000-000004000000}">
      <formula1>IF(OR(E23="el",E23="sch",E23="lart",E23="hart"),NoType,IF(OR(E23="cv",E23="lh"),CavWpn,IF(E23="bwg",BWGWpn,IF(OR(E23="lch",E23="hch"),ChWpn,IF(OR(E23="kn",E23="ct"),KnWpn,footWpn)))))</formula1>
    </dataValidation>
    <dataValidation type="list" allowBlank="1" showInputMessage="1" showErrorMessage="1" sqref="G10:J10" xr:uid="{00000000-0002-0000-0000-000005000000}">
      <formula1>Terrain</formula1>
    </dataValidation>
    <dataValidation type="list" allowBlank="1" showInputMessage="1" showErrorMessage="1" sqref="L12" xr:uid="{00000000-0002-0000-0000-000006000000}">
      <formula1>Language_choices</formula1>
    </dataValidation>
    <dataValidation type="list" allowBlank="1" showInputMessage="1" showErrorMessage="1" sqref="L17:L19" xr:uid="{00000000-0002-0000-0000-000007000000}">
      <formula1>Ally</formula1>
    </dataValidation>
    <dataValidation type="list" allowBlank="1" showInputMessage="1" showErrorMessage="1" sqref="K23:K61" xr:uid="{00000000-0002-0000-0000-000008000000}">
      <formula1>Divers</formula1>
    </dataValidation>
    <dataValidation type="list" allowBlank="1" showInputMessage="1" showErrorMessage="1" sqref="E23:E61" xr:uid="{00000000-0002-0000-0000-000009000000}">
      <formula1>Type</formula1>
    </dataValidation>
    <dataValidation type="list" allowBlank="1" showInputMessage="1" showErrorMessage="1" sqref="K13:L13" xr:uid="{00000000-0002-0000-0000-00000A000000}">
      <formula1>camp</formula1>
    </dataValidation>
    <dataValidation type="list" allowBlank="1" showInputMessage="1" showErrorMessage="1" sqref="J17:K19" xr:uid="{00000000-0002-0000-0000-00000B000000}">
      <formula1>"Field,Troop,-"</formula1>
    </dataValidation>
    <dataValidation type="list" allowBlank="1" showInputMessage="1" showErrorMessage="1" sqref="J16:K16" xr:uid="{00000000-0002-0000-0000-00000C000000}">
      <formula1>"Inspired,Field,Troop,-"</formula1>
    </dataValidation>
    <dataValidation type="list" allowBlank="1" showInputMessage="1" showErrorMessage="1" sqref="E16:E17" xr:uid="{00000000-0002-0000-0000-00000D000000}">
      <formula1>YesNo</formula1>
    </dataValidation>
    <dataValidation type="list" showInputMessage="1" showErrorMessage="1" sqref="G6:I6" xr:uid="{7A114D26-A2C3-4132-A0BD-9979FE333019}">
      <formula1>"Book 1,Book 2,Book 3"</formula1>
    </dataValidation>
  </dataValidations>
  <printOptions horizontalCentered="1"/>
  <pageMargins left="0.19685039370078741" right="0.19685039370078741" top="0.59055118110236227" bottom="0.55118110236220474" header="0.19685039370078741" footer="0.11811023622047245"/>
  <pageSetup paperSize="9" scale="56" fitToHeight="0" orientation="landscape" r:id="rId1"/>
  <headerFooter>
    <oddHeader>&amp;L&amp;P  of  &amp;N&amp;R&amp;P  of  &amp;N</oddHeader>
    <oddFooter>&amp;LThanks to: Rich and Olivier&amp;C&amp;F&amp;R
&amp;D</oddFooter>
  </headerFooter>
  <ignoredErrors>
    <ignoredError sqref="O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J126"/>
  <sheetViews>
    <sheetView topLeftCell="N40" workbookViewId="0">
      <selection activeCell="T54" sqref="T54"/>
    </sheetView>
  </sheetViews>
  <sheetFormatPr defaultColWidth="9.08984375" defaultRowHeight="12.75" customHeight="1" x14ac:dyDescent="0.25"/>
  <cols>
    <col min="1" max="1" width="18.08984375" style="58" bestFit="1" customWidth="1"/>
    <col min="2" max="2" width="21.453125" style="58" bestFit="1" customWidth="1"/>
    <col min="3" max="3" width="5.90625" style="58" bestFit="1" customWidth="1"/>
    <col min="4" max="4" width="16.36328125" style="58" bestFit="1" customWidth="1"/>
    <col min="5" max="5" width="9.90625" style="58" bestFit="1" customWidth="1"/>
    <col min="6" max="6" width="8.54296875" style="58" bestFit="1" customWidth="1"/>
    <col min="7" max="7" width="13.54296875" style="58" bestFit="1" customWidth="1"/>
    <col min="8" max="8" width="11.36328125" style="58" bestFit="1" customWidth="1"/>
    <col min="9" max="9" width="4.90625" style="58" bestFit="1" customWidth="1"/>
    <col min="10" max="10" width="28" style="124" bestFit="1" customWidth="1"/>
    <col min="11" max="11" width="3.453125" style="125" bestFit="1" customWidth="1"/>
    <col min="12" max="12" width="11" style="58" bestFit="1" customWidth="1"/>
    <col min="13" max="13" width="17.08984375" style="58" bestFit="1" customWidth="1"/>
    <col min="14" max="14" width="7.6328125" style="58" bestFit="1" customWidth="1"/>
    <col min="15" max="15" width="2.54296875" style="58" bestFit="1" customWidth="1"/>
    <col min="16" max="16" width="3" style="58" bestFit="1" customWidth="1"/>
    <col min="17" max="17" width="37.08984375" style="58" bestFit="1" customWidth="1"/>
    <col min="18" max="18" width="19.6328125" style="124" customWidth="1"/>
    <col min="19" max="19" width="3.6328125" style="58" bestFit="1" customWidth="1"/>
    <col min="20" max="20" width="15.36328125" style="58" customWidth="1"/>
    <col min="21" max="28" width="3.6328125" style="58" bestFit="1" customWidth="1"/>
    <col min="29" max="29" width="9.54296875" style="58" customWidth="1"/>
    <col min="30" max="30" width="11.36328125" style="58" customWidth="1"/>
    <col min="31" max="31" width="11" style="58" bestFit="1" customWidth="1"/>
    <col min="32" max="32" width="36.6328125" style="128" bestFit="1" customWidth="1"/>
    <col min="33" max="54" width="13" style="58" bestFit="1" customWidth="1"/>
    <col min="55" max="55" width="3.453125" style="58" bestFit="1" customWidth="1"/>
    <col min="56" max="60" width="11.453125" style="58" customWidth="1"/>
    <col min="61" max="61" width="7" style="58" bestFit="1" customWidth="1"/>
    <col min="62" max="62" width="7.36328125" style="58" bestFit="1" customWidth="1"/>
    <col min="63" max="63" width="13" style="58" customWidth="1"/>
    <col min="64" max="64" width="4.453125" style="58" customWidth="1"/>
    <col min="65" max="65" width="7.6328125" style="58" bestFit="1" customWidth="1"/>
    <col min="66" max="66" width="4" style="58" customWidth="1"/>
    <col min="67" max="67" width="11.453125" style="58" customWidth="1"/>
    <col min="68" max="68" width="21.453125" style="58" bestFit="1" customWidth="1"/>
    <col min="69" max="69" width="2" style="58" bestFit="1" customWidth="1"/>
    <col min="70" max="70" width="2.36328125" style="58" bestFit="1" customWidth="1"/>
    <col min="71" max="71" width="14.54296875" style="58" bestFit="1" customWidth="1"/>
    <col min="72" max="72" width="34.54296875" style="58" bestFit="1" customWidth="1"/>
    <col min="73" max="77" width="36.08984375" style="58" bestFit="1" customWidth="1"/>
    <col min="78" max="81" width="32.453125" style="58" bestFit="1" customWidth="1"/>
    <col min="82" max="82" width="23.36328125" style="58" bestFit="1" customWidth="1"/>
    <col min="83" max="84" width="22.453125" style="58" bestFit="1" customWidth="1"/>
    <col min="85" max="87" width="28.6328125" style="58" bestFit="1" customWidth="1"/>
    <col min="88" max="91" width="35.54296875" style="58" bestFit="1" customWidth="1"/>
    <col min="92" max="98" width="34.90625" style="58" bestFit="1" customWidth="1"/>
    <col min="99" max="100" width="29.36328125" style="58" bestFit="1" customWidth="1"/>
    <col min="101" max="101" width="15.6328125" style="58" bestFit="1" customWidth="1"/>
    <col min="102" max="102" width="21" style="58" bestFit="1" customWidth="1"/>
    <col min="103" max="104" width="22.54296875" style="58" bestFit="1" customWidth="1"/>
    <col min="105" max="107" width="25.453125" style="58" bestFit="1" customWidth="1"/>
    <col min="108" max="109" width="22.36328125" style="58" bestFit="1" customWidth="1"/>
    <col min="110" max="114" width="53.90625" style="58" bestFit="1" customWidth="1"/>
    <col min="115" max="115" width="27.08984375" style="58" bestFit="1" customWidth="1"/>
    <col min="116" max="118" width="22.54296875" style="58" bestFit="1" customWidth="1"/>
    <col min="119" max="121" width="27.6328125" style="58" bestFit="1" customWidth="1"/>
    <col min="122" max="123" width="25.08984375" style="58" bestFit="1" customWidth="1"/>
    <col min="124" max="125" width="50.54296875" style="58" bestFit="1" customWidth="1"/>
    <col min="126" max="126" width="70.54296875" style="58" bestFit="1" customWidth="1"/>
    <col min="127" max="128" width="69.08984375" style="58" bestFit="1" customWidth="1"/>
    <col min="129" max="130" width="53.6328125" style="58" bestFit="1" customWidth="1"/>
    <col min="131" max="133" width="33.6328125" style="58" bestFit="1" customWidth="1"/>
    <col min="134" max="134" width="31.08984375" style="58" bestFit="1" customWidth="1"/>
    <col min="135" max="135" width="20.6328125" style="58" bestFit="1" customWidth="1"/>
    <col min="136" max="138" width="18.6328125" style="58" bestFit="1" customWidth="1"/>
    <col min="139" max="139" width="19.6328125" style="58" bestFit="1" customWidth="1"/>
    <col min="140" max="143" width="22.54296875" style="58" bestFit="1" customWidth="1"/>
    <col min="144" max="144" width="31.54296875" style="58" bestFit="1" customWidth="1"/>
    <col min="145" max="145" width="32" style="58" customWidth="1"/>
    <col min="146" max="148" width="31.54296875" style="58" bestFit="1" customWidth="1"/>
    <col min="149" max="149" width="30.54296875" style="58" bestFit="1" customWidth="1"/>
    <col min="150" max="150" width="39.36328125" style="58" bestFit="1" customWidth="1"/>
    <col min="151" max="152" width="37.90625" style="58" bestFit="1" customWidth="1"/>
    <col min="153" max="156" width="22.36328125" style="58" bestFit="1" customWidth="1"/>
    <col min="157" max="157" width="22.6328125" style="58" bestFit="1" customWidth="1"/>
    <col min="158" max="160" width="3.453125" style="58" bestFit="1" customWidth="1"/>
    <col min="161" max="161" width="12.08984375" style="58" bestFit="1" customWidth="1"/>
    <col min="162" max="164" width="19.08984375" style="58" bestFit="1" customWidth="1"/>
    <col min="165" max="165" width="14.36328125" style="58" bestFit="1" customWidth="1"/>
    <col min="166" max="166" width="17.90625" style="58" bestFit="1" customWidth="1"/>
    <col min="167" max="168" width="17.08984375" style="58" bestFit="1" customWidth="1"/>
    <col min="169" max="171" width="14.54296875" style="58" bestFit="1" customWidth="1"/>
    <col min="172" max="175" width="19.90625" style="58" bestFit="1" customWidth="1"/>
    <col min="176" max="178" width="14.08984375" style="58" bestFit="1" customWidth="1"/>
    <col min="179" max="181" width="14.36328125" style="58" bestFit="1" customWidth="1"/>
    <col min="182" max="184" width="23.90625" style="58" bestFit="1" customWidth="1"/>
    <col min="185" max="190" width="30.54296875" style="58" bestFit="1" customWidth="1"/>
    <col min="191" max="191" width="11.6328125" style="58" customWidth="1"/>
    <col min="192" max="196" width="15.453125" style="58" bestFit="1" customWidth="1"/>
    <col min="197" max="197" width="22.08984375" style="58" bestFit="1" customWidth="1"/>
    <col min="198" max="198" width="12" style="58" customWidth="1"/>
    <col min="199" max="199" width="22.08984375" style="58" bestFit="1" customWidth="1"/>
    <col min="200" max="202" width="25.54296875" style="58" bestFit="1" customWidth="1"/>
    <col min="203" max="207" width="12.54296875" style="58" bestFit="1" customWidth="1"/>
    <col min="208" max="208" width="16.36328125" style="58" bestFit="1" customWidth="1"/>
    <col min="209" max="209" width="11.6328125" style="58" customWidth="1"/>
    <col min="210" max="210" width="16.36328125" style="58" bestFit="1" customWidth="1"/>
    <col min="211" max="217" width="12.36328125" style="58" bestFit="1" customWidth="1"/>
    <col min="218" max="256" width="11.453125" style="58" customWidth="1"/>
    <col min="257" max="16384" width="9.08984375" style="58"/>
  </cols>
  <sheetData>
    <row r="1" spans="1:218" ht="12.75" customHeight="1" x14ac:dyDescent="0.25">
      <c r="A1" s="58" t="s">
        <v>56</v>
      </c>
      <c r="B1" s="58" t="str">
        <f>"Translate!$A$1:"&amp;ADDRESS(COUNTA(Translate!A:A),COUNTA(Language_choices),1,TRUE)</f>
        <v>Translate!$A$1:$E$117</v>
      </c>
      <c r="J1" s="58"/>
      <c r="K1" s="124"/>
      <c r="L1" s="125"/>
      <c r="Q1" s="126" t="s">
        <v>34</v>
      </c>
      <c r="R1" s="127"/>
      <c r="T1" s="58" t="s">
        <v>915</v>
      </c>
      <c r="U1" s="54" t="s">
        <v>924</v>
      </c>
    </row>
    <row r="2" spans="1:218" ht="12.75" customHeight="1" x14ac:dyDescent="0.25">
      <c r="A2" s="58" t="s">
        <v>57</v>
      </c>
      <c r="B2" s="54" t="s">
        <v>70</v>
      </c>
      <c r="Q2" s="129" t="str">
        <f ca="1">CONCATENATE("BWG"," ",VLOOKUP("Heavy weapon",Zone_Traduction,ref_langue,FALSE))</f>
        <v>BWG Heavy Weapon</v>
      </c>
      <c r="R2" s="130">
        <v>6</v>
      </c>
      <c r="T2" s="58" t="str">
        <f ca="1">VLOOKUP("Camp",Zone_Traduction,ref_langue,FALSE)</f>
        <v>Camp</v>
      </c>
      <c r="U2" s="1" t="s">
        <v>936</v>
      </c>
      <c r="AG2" s="58">
        <v>1</v>
      </c>
      <c r="AH2" s="58">
        <v>2</v>
      </c>
      <c r="AI2" s="58">
        <v>3</v>
      </c>
      <c r="AJ2" s="58">
        <v>4</v>
      </c>
      <c r="AK2" s="58">
        <v>5</v>
      </c>
      <c r="AL2" s="58">
        <v>6</v>
      </c>
      <c r="AM2" s="58">
        <v>7</v>
      </c>
      <c r="AN2" s="58">
        <v>8</v>
      </c>
      <c r="AO2" s="58">
        <v>9</v>
      </c>
      <c r="AP2" s="58">
        <v>10</v>
      </c>
      <c r="AQ2" s="58">
        <v>11</v>
      </c>
      <c r="AR2" s="58">
        <v>12</v>
      </c>
      <c r="AS2" s="58">
        <v>13</v>
      </c>
      <c r="AT2" s="58">
        <v>14</v>
      </c>
      <c r="AU2" s="58">
        <v>15</v>
      </c>
      <c r="AV2" s="58">
        <v>16</v>
      </c>
      <c r="AW2" s="58">
        <v>17</v>
      </c>
      <c r="AX2" s="58">
        <v>18</v>
      </c>
      <c r="AY2" s="58">
        <v>19</v>
      </c>
      <c r="AZ2" s="58">
        <v>20</v>
      </c>
      <c r="BA2" s="58">
        <v>21</v>
      </c>
      <c r="BB2" s="58">
        <v>22</v>
      </c>
      <c r="BC2" s="58">
        <v>23</v>
      </c>
      <c r="BP2" s="131" t="s">
        <v>329</v>
      </c>
      <c r="BQ2" s="132" t="s">
        <v>30</v>
      </c>
      <c r="BR2" s="133">
        <v>3</v>
      </c>
      <c r="BS2" s="133">
        <v>4</v>
      </c>
      <c r="BT2" s="133">
        <v>5</v>
      </c>
      <c r="BU2" s="133">
        <v>6</v>
      </c>
      <c r="BV2" s="133">
        <v>7</v>
      </c>
      <c r="BW2" s="133">
        <v>8</v>
      </c>
      <c r="BX2" s="133">
        <v>9</v>
      </c>
      <c r="BY2" s="133">
        <v>10</v>
      </c>
      <c r="BZ2" s="133">
        <v>11</v>
      </c>
      <c r="CA2" s="133">
        <v>12</v>
      </c>
      <c r="CB2" s="133">
        <v>13</v>
      </c>
      <c r="CC2" s="133">
        <v>14</v>
      </c>
      <c r="CD2" s="133">
        <v>15</v>
      </c>
      <c r="CE2" s="133">
        <v>16</v>
      </c>
      <c r="CF2" s="133">
        <v>17</v>
      </c>
      <c r="CG2" s="133">
        <v>18</v>
      </c>
      <c r="CH2" s="133">
        <v>19</v>
      </c>
      <c r="CI2" s="133">
        <v>20</v>
      </c>
      <c r="CJ2" s="133">
        <v>21</v>
      </c>
      <c r="CK2" s="133">
        <v>22</v>
      </c>
      <c r="CL2" s="133">
        <v>23</v>
      </c>
      <c r="CM2" s="133">
        <v>24</v>
      </c>
      <c r="CN2" s="133">
        <v>25</v>
      </c>
      <c r="CO2" s="133">
        <v>26</v>
      </c>
      <c r="CP2" s="133">
        <v>27</v>
      </c>
      <c r="CQ2" s="133">
        <v>28</v>
      </c>
      <c r="CR2" s="133">
        <v>29</v>
      </c>
      <c r="CS2" s="133">
        <v>30</v>
      </c>
      <c r="CT2" s="133">
        <v>31</v>
      </c>
      <c r="CU2" s="133">
        <v>32</v>
      </c>
      <c r="CV2" s="133">
        <v>33</v>
      </c>
      <c r="CW2" s="133">
        <v>34</v>
      </c>
      <c r="CX2" s="133">
        <v>35</v>
      </c>
      <c r="CY2" s="133">
        <v>36</v>
      </c>
      <c r="CZ2" s="133">
        <v>37</v>
      </c>
      <c r="DA2" s="133">
        <v>38</v>
      </c>
      <c r="DB2" s="133">
        <v>39</v>
      </c>
      <c r="DC2" s="133">
        <v>40</v>
      </c>
      <c r="DD2" s="133">
        <v>41</v>
      </c>
      <c r="DE2" s="133">
        <v>42</v>
      </c>
      <c r="DF2" s="133">
        <v>43</v>
      </c>
      <c r="DG2" s="133">
        <v>44</v>
      </c>
      <c r="DH2" s="133">
        <v>45</v>
      </c>
      <c r="DI2" s="133">
        <v>46</v>
      </c>
      <c r="DJ2" s="133">
        <v>47</v>
      </c>
      <c r="DK2" s="133">
        <v>48</v>
      </c>
      <c r="DL2" s="133">
        <v>49</v>
      </c>
      <c r="DM2" s="133">
        <v>50</v>
      </c>
      <c r="DN2" s="133">
        <v>51</v>
      </c>
      <c r="DO2" s="133">
        <v>52</v>
      </c>
      <c r="DP2" s="133">
        <v>53</v>
      </c>
      <c r="DQ2" s="133">
        <v>54</v>
      </c>
      <c r="DR2" s="133">
        <v>55</v>
      </c>
      <c r="DS2" s="133">
        <v>56</v>
      </c>
      <c r="DT2" s="133">
        <v>57</v>
      </c>
      <c r="DU2" s="133">
        <v>58</v>
      </c>
      <c r="DV2" s="133">
        <v>59</v>
      </c>
      <c r="DW2" s="133">
        <v>60</v>
      </c>
      <c r="DX2" s="133">
        <v>61</v>
      </c>
      <c r="DY2" s="133">
        <v>62</v>
      </c>
      <c r="DZ2" s="133">
        <v>63</v>
      </c>
      <c r="EA2" s="133">
        <v>64</v>
      </c>
      <c r="EB2" s="133">
        <v>65</v>
      </c>
      <c r="EC2" s="133">
        <v>66</v>
      </c>
      <c r="ED2" s="133">
        <v>67</v>
      </c>
      <c r="EE2" s="133">
        <v>68</v>
      </c>
      <c r="EF2" s="133">
        <v>69</v>
      </c>
      <c r="EG2" s="133">
        <v>70</v>
      </c>
      <c r="EH2" s="133">
        <v>71</v>
      </c>
      <c r="EI2" s="133">
        <v>72</v>
      </c>
      <c r="EJ2" s="133">
        <v>73</v>
      </c>
      <c r="EK2" s="133">
        <v>74</v>
      </c>
      <c r="EL2" s="133">
        <v>75</v>
      </c>
      <c r="EM2" s="133">
        <v>76</v>
      </c>
      <c r="EN2" s="133">
        <v>77</v>
      </c>
      <c r="EO2" s="133">
        <v>78</v>
      </c>
      <c r="EP2" s="133">
        <v>79</v>
      </c>
      <c r="EQ2" s="133">
        <v>80</v>
      </c>
      <c r="ER2" s="133">
        <v>81</v>
      </c>
      <c r="ES2" s="133">
        <v>82</v>
      </c>
      <c r="ET2" s="133">
        <v>83</v>
      </c>
      <c r="EU2" s="133">
        <v>84</v>
      </c>
      <c r="EV2" s="134">
        <v>85</v>
      </c>
      <c r="EW2" s="133">
        <v>86</v>
      </c>
      <c r="EX2" s="134">
        <v>87</v>
      </c>
      <c r="EY2" s="133">
        <v>88</v>
      </c>
      <c r="EZ2" s="134">
        <v>89</v>
      </c>
      <c r="FA2" s="133">
        <v>90</v>
      </c>
      <c r="FB2" s="134">
        <v>91</v>
      </c>
      <c r="FC2" s="133">
        <v>92</v>
      </c>
      <c r="FD2" s="134">
        <v>93</v>
      </c>
      <c r="FE2" s="133">
        <v>94</v>
      </c>
      <c r="FF2" s="133">
        <v>95</v>
      </c>
      <c r="FG2" s="134">
        <v>96</v>
      </c>
      <c r="FH2" s="133">
        <v>97</v>
      </c>
      <c r="FI2" s="134">
        <v>98</v>
      </c>
      <c r="FJ2" s="133">
        <v>99</v>
      </c>
      <c r="FK2" s="134">
        <v>100</v>
      </c>
      <c r="FL2" s="133">
        <v>101</v>
      </c>
      <c r="FM2" s="134">
        <v>102</v>
      </c>
      <c r="FN2" s="133">
        <v>103</v>
      </c>
      <c r="FO2" s="134">
        <v>104</v>
      </c>
      <c r="FP2" s="133">
        <v>105</v>
      </c>
      <c r="FQ2" s="133">
        <v>106</v>
      </c>
      <c r="FR2" s="134">
        <v>107</v>
      </c>
      <c r="FS2" s="133">
        <v>108</v>
      </c>
      <c r="FT2" s="134">
        <v>109</v>
      </c>
      <c r="FU2" s="133">
        <v>110</v>
      </c>
      <c r="FV2" s="134">
        <v>111</v>
      </c>
      <c r="FW2" s="133">
        <v>112</v>
      </c>
      <c r="FX2" s="134">
        <v>113</v>
      </c>
      <c r="FY2" s="133">
        <v>114</v>
      </c>
      <c r="FZ2" s="134">
        <v>115</v>
      </c>
      <c r="GA2" s="133">
        <v>116</v>
      </c>
      <c r="GB2" s="134">
        <v>117</v>
      </c>
      <c r="GC2" s="133">
        <v>118</v>
      </c>
      <c r="GD2" s="134">
        <v>119</v>
      </c>
      <c r="GE2" s="133">
        <v>120</v>
      </c>
      <c r="GF2" s="134">
        <v>121</v>
      </c>
      <c r="GG2" s="133">
        <v>122</v>
      </c>
      <c r="GH2" s="134">
        <v>123</v>
      </c>
      <c r="GI2" s="133">
        <v>124</v>
      </c>
      <c r="GJ2" s="134">
        <v>125</v>
      </c>
      <c r="GK2" s="133">
        <v>126</v>
      </c>
      <c r="GL2" s="134">
        <v>127</v>
      </c>
      <c r="GM2" s="133">
        <v>128</v>
      </c>
      <c r="GN2" s="134">
        <v>129</v>
      </c>
      <c r="GO2" s="133">
        <v>130</v>
      </c>
      <c r="GP2" s="134">
        <v>131</v>
      </c>
      <c r="GQ2" s="133">
        <v>132</v>
      </c>
      <c r="GR2" s="134">
        <v>133</v>
      </c>
      <c r="GS2" s="133">
        <v>134</v>
      </c>
      <c r="GT2" s="134">
        <v>135</v>
      </c>
      <c r="GU2" s="133">
        <v>136</v>
      </c>
      <c r="GV2" s="134">
        <v>137</v>
      </c>
      <c r="GW2" s="133">
        <v>138</v>
      </c>
      <c r="GX2" s="134">
        <v>139</v>
      </c>
      <c r="GY2" s="133">
        <v>140</v>
      </c>
      <c r="GZ2" s="134">
        <v>141</v>
      </c>
      <c r="HA2" s="133">
        <v>142</v>
      </c>
      <c r="HB2" s="134">
        <v>143</v>
      </c>
      <c r="HC2" s="133">
        <v>144</v>
      </c>
      <c r="HD2" s="134">
        <v>145</v>
      </c>
      <c r="HE2" s="133">
        <v>146</v>
      </c>
      <c r="HF2" s="134">
        <v>147</v>
      </c>
      <c r="HG2" s="133">
        <v>148</v>
      </c>
      <c r="HH2" s="134">
        <v>149</v>
      </c>
      <c r="HI2" s="133">
        <v>150</v>
      </c>
      <c r="HJ2" s="134">
        <v>151</v>
      </c>
    </row>
    <row r="3" spans="1:218" ht="12.75" customHeight="1" x14ac:dyDescent="0.35">
      <c r="B3" s="135"/>
      <c r="C3" s="16" t="str">
        <f ca="1">VLOOKUP("Elite",Zone_Traduction,ref_langue,FALSE)</f>
        <v>Elite</v>
      </c>
      <c r="D3" s="16" t="str">
        <f ca="1">VLOOKUP("Superior",Zone_Traduction,ref_langue,FALSE)</f>
        <v>Superior</v>
      </c>
      <c r="E3" s="16" t="str">
        <f ca="1">VLOOKUP("Average",Zone_Traduction,ref_langue,FALSE)</f>
        <v>Average</v>
      </c>
      <c r="F3" s="16" t="str">
        <f ca="1">VLOOKUP("Poor",Zone_Traduction,ref_langue,FALSE)</f>
        <v>Poor</v>
      </c>
      <c r="G3" s="16" t="str">
        <f ca="1">VLOOKUP("Drilled",Zone_Traduction,ref_langue,FALSE)</f>
        <v>Drilled</v>
      </c>
      <c r="H3" s="136" t="s">
        <v>30</v>
      </c>
      <c r="Q3" s="129" t="s">
        <v>935</v>
      </c>
      <c r="R3" s="130">
        <v>6</v>
      </c>
      <c r="T3" s="58" t="str">
        <f ca="1">VLOOKUP("Fortified Camp",Zone_Traduction,ref_langue,FALSE)</f>
        <v>Fortified Camp</v>
      </c>
      <c r="U3" s="1" t="s">
        <v>937</v>
      </c>
      <c r="AF3" s="128">
        <v>1</v>
      </c>
      <c r="AG3" s="58">
        <v>10</v>
      </c>
      <c r="BK3" s="53">
        <f>IF(List!$L16="CinC",VLOOKUP(List!$J16,table_general,2,FALSE),0)</f>
        <v>0</v>
      </c>
      <c r="BP3" s="137" t="s">
        <v>30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138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138"/>
    </row>
    <row r="4" spans="1:218" ht="12.75" customHeight="1" x14ac:dyDescent="0.25">
      <c r="A4" s="125" t="s">
        <v>27</v>
      </c>
      <c r="B4" s="129" t="str">
        <f ca="1">CONCATENATE("HF"," ",VLOOKUP("Heavily armoured",Zone_Traduction,ref_langue,FALSE))</f>
        <v>HF Heavily Armoured</v>
      </c>
      <c r="C4" s="60">
        <v>16</v>
      </c>
      <c r="D4" s="60">
        <v>13</v>
      </c>
      <c r="E4" s="60">
        <v>9</v>
      </c>
      <c r="F4" s="60"/>
      <c r="G4" s="60">
        <v>2</v>
      </c>
      <c r="H4" s="138">
        <v>0</v>
      </c>
      <c r="J4" s="139" t="s">
        <v>32</v>
      </c>
      <c r="K4" s="136"/>
      <c r="M4" s="58" t="s">
        <v>36</v>
      </c>
      <c r="Q4" s="129" t="str">
        <f ca="1">CONCATENATE("BWG"," ",VLOOKUP("Swordsmen",Zone_Traduction,ref_langue,FALSE))</f>
        <v>BWG Swordsmen</v>
      </c>
      <c r="R4" s="130">
        <v>3</v>
      </c>
      <c r="AF4" s="128">
        <v>2</v>
      </c>
      <c r="AG4" s="58">
        <f t="shared" ref="AG4:AN11" si="0">(AG$2/$AF4)*5</f>
        <v>2.5</v>
      </c>
      <c r="AH4" s="58">
        <v>10</v>
      </c>
      <c r="BP4" s="131" t="s">
        <v>472</v>
      </c>
      <c r="BQ4" s="14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138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138"/>
    </row>
    <row r="5" spans="1:218" ht="12.75" customHeight="1" x14ac:dyDescent="0.3">
      <c r="A5" s="125" t="s">
        <v>27</v>
      </c>
      <c r="B5" s="129" t="str">
        <f ca="1">CONCATENATE("HF"," ",VLOOKUP("Armoured",Zone_Traduction,ref_langue,FALSE))</f>
        <v>HF Armoured</v>
      </c>
      <c r="C5" s="60">
        <v>13</v>
      </c>
      <c r="D5" s="60">
        <v>11</v>
      </c>
      <c r="E5" s="60">
        <v>7</v>
      </c>
      <c r="F5" s="60">
        <v>5</v>
      </c>
      <c r="G5" s="60">
        <v>1</v>
      </c>
      <c r="H5" s="138">
        <v>0</v>
      </c>
      <c r="J5" s="129" t="str">
        <f ca="1">CONCATENATE("BWG"," ",VLOOKUP("Bow",Zone_Traduction,ref_langue,FALSE))</f>
        <v>BWG Bow</v>
      </c>
      <c r="K5" s="141">
        <v>3</v>
      </c>
      <c r="M5" s="15" t="str">
        <f ca="1">VLOOKUP("Camelry",Zone_Traduction,ref_langue,FALSE)</f>
        <v>Camelry</v>
      </c>
      <c r="N5" s="142">
        <v>2</v>
      </c>
      <c r="Q5" s="129" t="str">
        <f ca="1">CONCATENATE("infanterie"," ",VLOOKUP("defensive spearmen",Zone_Traduction,ref_langue,FALSE))</f>
        <v>infanterie Defensive Spearmen</v>
      </c>
      <c r="R5" s="130">
        <v>1</v>
      </c>
      <c r="AF5" s="128">
        <v>3</v>
      </c>
      <c r="AG5" s="58">
        <f t="shared" si="0"/>
        <v>1.6666666666666665</v>
      </c>
      <c r="AH5" s="58">
        <f t="shared" si="0"/>
        <v>3.333333333333333</v>
      </c>
      <c r="AI5" s="58">
        <v>10</v>
      </c>
      <c r="BI5" s="54"/>
      <c r="BJ5" s="2"/>
      <c r="BK5" s="2"/>
      <c r="BL5" s="2"/>
      <c r="BM5" s="3">
        <f>SUM(BM13:BM38)</f>
        <v>0</v>
      </c>
      <c r="BN5" s="2"/>
      <c r="BP5" s="143" t="s">
        <v>284</v>
      </c>
      <c r="BQ5" s="60"/>
      <c r="BR5" s="60"/>
      <c r="BS5" s="60"/>
      <c r="BT5" s="60"/>
      <c r="BU5" s="144" t="s">
        <v>421</v>
      </c>
      <c r="BV5" s="144" t="s">
        <v>421</v>
      </c>
      <c r="BW5" s="144" t="s">
        <v>421</v>
      </c>
      <c r="BX5" s="144" t="s">
        <v>421</v>
      </c>
      <c r="BY5" s="144" t="s">
        <v>421</v>
      </c>
      <c r="BZ5" s="60" t="s">
        <v>422</v>
      </c>
      <c r="CA5" s="60" t="s">
        <v>422</v>
      </c>
      <c r="CB5" s="60" t="s">
        <v>423</v>
      </c>
      <c r="CC5" s="60" t="s">
        <v>423</v>
      </c>
      <c r="CD5" s="60" t="s">
        <v>424</v>
      </c>
      <c r="CE5" s="144" t="s">
        <v>425</v>
      </c>
      <c r="CF5" s="144" t="s">
        <v>425</v>
      </c>
      <c r="CG5" s="144" t="s">
        <v>426</v>
      </c>
      <c r="CH5" s="144" t="s">
        <v>426</v>
      </c>
      <c r="CI5" s="144" t="s">
        <v>427</v>
      </c>
      <c r="CJ5" s="144" t="s">
        <v>427</v>
      </c>
      <c r="CK5" s="60" t="s">
        <v>428</v>
      </c>
      <c r="CL5" s="60" t="s">
        <v>428</v>
      </c>
      <c r="CM5" s="60" t="s">
        <v>428</v>
      </c>
      <c r="CN5" s="60" t="s">
        <v>428</v>
      </c>
      <c r="CO5" s="60" t="s">
        <v>429</v>
      </c>
      <c r="CP5" s="60" t="s">
        <v>429</v>
      </c>
      <c r="CQ5" s="60" t="s">
        <v>430</v>
      </c>
      <c r="CR5" s="60" t="s">
        <v>430</v>
      </c>
      <c r="CS5" s="60" t="s">
        <v>431</v>
      </c>
      <c r="CT5" s="60" t="s">
        <v>431</v>
      </c>
      <c r="CU5" s="60" t="s">
        <v>432</v>
      </c>
      <c r="CV5" s="60" t="s">
        <v>432</v>
      </c>
      <c r="CW5" s="60" t="s">
        <v>432</v>
      </c>
      <c r="CX5" s="60" t="s">
        <v>432</v>
      </c>
      <c r="CY5" s="60" t="s">
        <v>433</v>
      </c>
      <c r="CZ5" s="60" t="s">
        <v>433</v>
      </c>
      <c r="DA5" s="144" t="s">
        <v>434</v>
      </c>
      <c r="DB5" s="144" t="s">
        <v>434</v>
      </c>
      <c r="DC5" s="144" t="s">
        <v>434</v>
      </c>
      <c r="DD5" s="144" t="s">
        <v>434</v>
      </c>
      <c r="DE5" s="144" t="s">
        <v>434</v>
      </c>
      <c r="DF5" s="60" t="s">
        <v>435</v>
      </c>
      <c r="DG5" s="60" t="s">
        <v>435</v>
      </c>
      <c r="DH5" s="60" t="s">
        <v>435</v>
      </c>
      <c r="DI5" s="60" t="s">
        <v>435</v>
      </c>
      <c r="DJ5" s="60" t="s">
        <v>435</v>
      </c>
      <c r="DK5" s="60" t="s">
        <v>436</v>
      </c>
      <c r="DL5" s="60" t="s">
        <v>436</v>
      </c>
      <c r="DM5" s="60" t="s">
        <v>436</v>
      </c>
      <c r="DN5" s="60" t="s">
        <v>436</v>
      </c>
      <c r="DO5" s="60" t="s">
        <v>436</v>
      </c>
      <c r="DP5" s="60" t="s">
        <v>436</v>
      </c>
      <c r="DQ5" s="60" t="s">
        <v>437</v>
      </c>
      <c r="DR5" s="60" t="s">
        <v>437</v>
      </c>
      <c r="DS5" s="60" t="s">
        <v>437</v>
      </c>
      <c r="DT5" s="60" t="s">
        <v>438</v>
      </c>
      <c r="DU5" s="60" t="s">
        <v>438</v>
      </c>
      <c r="DV5" s="60" t="s">
        <v>438</v>
      </c>
      <c r="DW5" s="60" t="s">
        <v>439</v>
      </c>
      <c r="DX5" s="60" t="s">
        <v>439</v>
      </c>
      <c r="DY5" s="60" t="s">
        <v>440</v>
      </c>
      <c r="DZ5" s="60" t="s">
        <v>440</v>
      </c>
      <c r="EA5" s="60" t="s">
        <v>440</v>
      </c>
      <c r="EB5" s="60" t="s">
        <v>440</v>
      </c>
      <c r="EC5" s="60" t="s">
        <v>441</v>
      </c>
      <c r="ED5" s="60" t="s">
        <v>441</v>
      </c>
      <c r="EE5" s="60" t="s">
        <v>441</v>
      </c>
      <c r="EF5" s="60" t="s">
        <v>442</v>
      </c>
      <c r="EG5" s="60" t="s">
        <v>442</v>
      </c>
      <c r="EH5" s="60" t="s">
        <v>442</v>
      </c>
      <c r="EI5" s="60" t="s">
        <v>443</v>
      </c>
      <c r="EJ5" s="60" t="s">
        <v>443</v>
      </c>
      <c r="EK5" s="60" t="s">
        <v>443</v>
      </c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6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6"/>
      <c r="GA5" s="147"/>
      <c r="GB5" s="147"/>
      <c r="GC5" s="147"/>
      <c r="GD5" s="147"/>
      <c r="GE5" s="147"/>
    </row>
    <row r="6" spans="1:218" ht="12.75" customHeight="1" x14ac:dyDescent="0.25">
      <c r="A6" s="125" t="s">
        <v>27</v>
      </c>
      <c r="B6" s="129" t="str">
        <f ca="1">CONCATENATE("HF"," ",VLOOKUP("Protected",Zone_Traduction,ref_langue,FALSE))</f>
        <v>HF Protected</v>
      </c>
      <c r="C6" s="60">
        <v>10</v>
      </c>
      <c r="D6" s="60">
        <v>8</v>
      </c>
      <c r="E6" s="60">
        <v>5</v>
      </c>
      <c r="F6" s="60">
        <v>3</v>
      </c>
      <c r="G6" s="60">
        <v>1</v>
      </c>
      <c r="H6" s="138">
        <v>0</v>
      </c>
      <c r="J6" s="129" t="str">
        <f ca="1">CONCATENATE("BWG"," ",VLOOKUP("Bw*",Zone_Traduction,ref_langue,FALSE))</f>
        <v>BWG Bw*</v>
      </c>
      <c r="K6" s="141">
        <v>3</v>
      </c>
      <c r="M6" s="39" t="str">
        <f ca="1">VLOOKUP("Port Def.",Zone_Traduction,ref_langue,FALSE)</f>
        <v>Port Def.</v>
      </c>
      <c r="N6" s="148">
        <v>1.5</v>
      </c>
      <c r="Q6" s="129" t="str">
        <f ca="1">CONCATENATE("infanterie"," ",VLOOKUP("Heavy weapon",Zone_Traduction,ref_langue,FALSE))</f>
        <v>infanterie Heavy Weapon</v>
      </c>
      <c r="R6" s="130">
        <v>2</v>
      </c>
      <c r="AF6" s="128">
        <v>4</v>
      </c>
      <c r="AG6" s="58">
        <f t="shared" si="0"/>
        <v>1.25</v>
      </c>
      <c r="AH6" s="58">
        <f t="shared" si="0"/>
        <v>2.5</v>
      </c>
      <c r="AI6" s="58">
        <f t="shared" si="0"/>
        <v>3.75</v>
      </c>
      <c r="AJ6" s="58">
        <v>10</v>
      </c>
      <c r="BG6" s="54"/>
      <c r="BH6" s="54"/>
      <c r="BI6" s="54">
        <f ca="1">SUM(BI13:BI38)</f>
        <v>0</v>
      </c>
      <c r="BJ6" s="2"/>
      <c r="BK6" s="2"/>
      <c r="BL6" s="2"/>
      <c r="BM6" s="4">
        <f>BN7+BK3</f>
        <v>0</v>
      </c>
      <c r="BN6" s="2"/>
      <c r="BP6" s="131" t="s">
        <v>471</v>
      </c>
      <c r="BQ6" s="140"/>
      <c r="BR6" s="60"/>
      <c r="BS6" s="60"/>
      <c r="BT6" s="60"/>
      <c r="BU6" s="60"/>
      <c r="BV6" s="60"/>
      <c r="BW6" s="60"/>
      <c r="BX6" s="60" t="s">
        <v>809</v>
      </c>
      <c r="BY6" s="60" t="s">
        <v>809</v>
      </c>
      <c r="BZ6" s="60" t="s">
        <v>809</v>
      </c>
      <c r="CA6" s="60" t="s">
        <v>809</v>
      </c>
      <c r="CB6" s="60" t="s">
        <v>810</v>
      </c>
      <c r="CC6" s="60" t="s">
        <v>810</v>
      </c>
      <c r="CD6" s="60" t="s">
        <v>810</v>
      </c>
      <c r="CE6" s="60" t="s">
        <v>810</v>
      </c>
      <c r="CF6" s="60" t="s">
        <v>811</v>
      </c>
      <c r="CG6" s="60" t="s">
        <v>811</v>
      </c>
      <c r="CH6" s="60" t="s">
        <v>811</v>
      </c>
      <c r="CI6" s="60" t="s">
        <v>812</v>
      </c>
      <c r="CJ6" s="60" t="s">
        <v>812</v>
      </c>
      <c r="CK6" s="60" t="s">
        <v>812</v>
      </c>
      <c r="CL6" s="60" t="s">
        <v>813</v>
      </c>
      <c r="CM6" s="60" t="s">
        <v>814</v>
      </c>
      <c r="CN6" s="60" t="s">
        <v>814</v>
      </c>
      <c r="CO6" s="60" t="s">
        <v>814</v>
      </c>
      <c r="CP6" s="60" t="s">
        <v>814</v>
      </c>
      <c r="CQ6" s="60" t="s">
        <v>814</v>
      </c>
      <c r="CR6" s="60" t="s">
        <v>814</v>
      </c>
      <c r="CS6" s="60" t="s">
        <v>814</v>
      </c>
      <c r="CT6" s="60" t="s">
        <v>814</v>
      </c>
      <c r="CU6" s="60" t="s">
        <v>815</v>
      </c>
      <c r="CV6" s="60" t="s">
        <v>815</v>
      </c>
      <c r="CW6" s="60" t="s">
        <v>815</v>
      </c>
      <c r="CX6" s="60" t="s">
        <v>816</v>
      </c>
      <c r="CY6" s="60" t="s">
        <v>816</v>
      </c>
      <c r="CZ6" s="60" t="s">
        <v>817</v>
      </c>
      <c r="DA6" s="60" t="s">
        <v>817</v>
      </c>
      <c r="DB6" s="60" t="s">
        <v>817</v>
      </c>
      <c r="DC6" s="60" t="s">
        <v>817</v>
      </c>
      <c r="DD6" s="60" t="s">
        <v>817</v>
      </c>
      <c r="DE6" s="60" t="s">
        <v>817</v>
      </c>
      <c r="DF6" s="60" t="s">
        <v>818</v>
      </c>
      <c r="DG6" s="60" t="s">
        <v>818</v>
      </c>
      <c r="DH6" s="60" t="s">
        <v>818</v>
      </c>
      <c r="DI6" s="60" t="s">
        <v>818</v>
      </c>
      <c r="DJ6" s="60" t="s">
        <v>818</v>
      </c>
      <c r="DK6" s="60" t="s">
        <v>819</v>
      </c>
      <c r="DL6" s="60" t="s">
        <v>819</v>
      </c>
      <c r="DM6" s="60" t="s">
        <v>819</v>
      </c>
      <c r="DN6" s="60" t="s">
        <v>819</v>
      </c>
      <c r="DO6" s="60" t="s">
        <v>820</v>
      </c>
      <c r="DP6" s="60" t="s">
        <v>820</v>
      </c>
      <c r="DQ6" s="60" t="s">
        <v>820</v>
      </c>
      <c r="DR6" s="60" t="s">
        <v>820</v>
      </c>
      <c r="DS6" s="60" t="s">
        <v>821</v>
      </c>
      <c r="DT6" s="60" t="s">
        <v>821</v>
      </c>
      <c r="DU6" s="60" t="s">
        <v>821</v>
      </c>
      <c r="DV6" s="60" t="s">
        <v>821</v>
      </c>
      <c r="DW6" s="60" t="s">
        <v>822</v>
      </c>
      <c r="DX6" s="60" t="s">
        <v>822</v>
      </c>
      <c r="DY6" s="60" t="s">
        <v>822</v>
      </c>
      <c r="DZ6" s="60" t="s">
        <v>823</v>
      </c>
      <c r="EA6" s="60" t="s">
        <v>823</v>
      </c>
      <c r="EB6" s="60" t="s">
        <v>824</v>
      </c>
      <c r="EC6" s="60" t="s">
        <v>824</v>
      </c>
      <c r="ED6" s="60" t="s">
        <v>824</v>
      </c>
      <c r="EE6" s="60" t="s">
        <v>825</v>
      </c>
      <c r="EF6" s="60" t="s">
        <v>825</v>
      </c>
      <c r="EG6" s="60" t="s">
        <v>825</v>
      </c>
      <c r="EH6" s="60" t="s">
        <v>825</v>
      </c>
      <c r="EI6" s="60" t="s">
        <v>826</v>
      </c>
      <c r="EJ6" s="60" t="s">
        <v>826</v>
      </c>
      <c r="EK6" s="60" t="s">
        <v>826</v>
      </c>
      <c r="EL6" s="60" t="s">
        <v>827</v>
      </c>
      <c r="EM6" s="60" t="s">
        <v>827</v>
      </c>
      <c r="EN6" s="60" t="s">
        <v>828</v>
      </c>
      <c r="EO6" s="60" t="s">
        <v>828</v>
      </c>
      <c r="EP6" s="60" t="s">
        <v>828</v>
      </c>
      <c r="EQ6" s="60" t="s">
        <v>828</v>
      </c>
      <c r="ER6" s="60" t="s">
        <v>828</v>
      </c>
      <c r="ES6" s="60" t="s">
        <v>829</v>
      </c>
      <c r="ET6" s="60" t="s">
        <v>829</v>
      </c>
      <c r="EU6" s="60" t="s">
        <v>829</v>
      </c>
      <c r="EV6" s="60" t="s">
        <v>829</v>
      </c>
      <c r="EW6" s="60" t="s">
        <v>829</v>
      </c>
      <c r="EX6" s="149" t="s">
        <v>846</v>
      </c>
      <c r="EY6" s="149" t="s">
        <v>846</v>
      </c>
      <c r="EZ6" s="149" t="s">
        <v>846</v>
      </c>
      <c r="FA6" s="60" t="s">
        <v>830</v>
      </c>
      <c r="FB6" s="60" t="s">
        <v>830</v>
      </c>
      <c r="FC6" s="60" t="s">
        <v>830</v>
      </c>
      <c r="FD6" s="60" t="s">
        <v>830</v>
      </c>
      <c r="FE6" s="60" t="s">
        <v>830</v>
      </c>
      <c r="FF6" s="60" t="s">
        <v>831</v>
      </c>
      <c r="FG6" s="60" t="s">
        <v>831</v>
      </c>
      <c r="FH6" s="60" t="s">
        <v>831</v>
      </c>
      <c r="FI6" s="60" t="s">
        <v>832</v>
      </c>
      <c r="FJ6" s="60" t="s">
        <v>832</v>
      </c>
      <c r="FK6" s="60" t="s">
        <v>832</v>
      </c>
      <c r="FL6" s="60" t="s">
        <v>833</v>
      </c>
      <c r="FM6" s="60" t="s">
        <v>833</v>
      </c>
      <c r="FN6" s="60" t="s">
        <v>833</v>
      </c>
      <c r="FO6" s="60" t="s">
        <v>833</v>
      </c>
      <c r="FP6" s="60" t="s">
        <v>834</v>
      </c>
      <c r="FQ6" s="60" t="s">
        <v>834</v>
      </c>
      <c r="FR6" s="60" t="s">
        <v>834</v>
      </c>
      <c r="FS6" s="60" t="s">
        <v>834</v>
      </c>
      <c r="FT6" s="60" t="s">
        <v>834</v>
      </c>
      <c r="FU6" s="60" t="s">
        <v>835</v>
      </c>
      <c r="FV6" s="60" t="s">
        <v>835</v>
      </c>
      <c r="FW6" s="60" t="s">
        <v>836</v>
      </c>
      <c r="FX6" s="60" t="s">
        <v>836</v>
      </c>
      <c r="FY6" s="60" t="s">
        <v>836</v>
      </c>
      <c r="FZ6" s="138" t="s">
        <v>837</v>
      </c>
      <c r="GA6" s="138" t="s">
        <v>837</v>
      </c>
      <c r="GB6" s="138" t="s">
        <v>837</v>
      </c>
      <c r="GC6" s="58" t="s">
        <v>838</v>
      </c>
      <c r="GD6" s="58" t="s">
        <v>838</v>
      </c>
      <c r="GE6" s="58" t="s">
        <v>838</v>
      </c>
      <c r="GF6" s="58" t="s">
        <v>838</v>
      </c>
      <c r="GG6" s="58" t="s">
        <v>838</v>
      </c>
      <c r="GH6" s="58" t="s">
        <v>838</v>
      </c>
      <c r="GI6" s="58" t="s">
        <v>838</v>
      </c>
      <c r="GJ6" s="58" t="s">
        <v>839</v>
      </c>
      <c r="GK6" s="58" t="s">
        <v>839</v>
      </c>
      <c r="GL6" s="58" t="s">
        <v>839</v>
      </c>
      <c r="GM6" s="58" t="s">
        <v>839</v>
      </c>
      <c r="GN6" s="58" t="s">
        <v>839</v>
      </c>
      <c r="GO6" s="58" t="s">
        <v>840</v>
      </c>
      <c r="GP6" s="58" t="s">
        <v>840</v>
      </c>
      <c r="GQ6" s="58" t="s">
        <v>840</v>
      </c>
      <c r="GR6" s="58" t="s">
        <v>841</v>
      </c>
      <c r="GS6" s="58" t="s">
        <v>841</v>
      </c>
      <c r="GT6" s="58" t="s">
        <v>841</v>
      </c>
      <c r="GU6" s="58" t="s">
        <v>842</v>
      </c>
      <c r="GV6" s="58" t="s">
        <v>842</v>
      </c>
      <c r="GW6" s="58" t="s">
        <v>842</v>
      </c>
      <c r="GX6" s="58" t="s">
        <v>842</v>
      </c>
      <c r="GY6" s="58" t="s">
        <v>842</v>
      </c>
      <c r="GZ6" s="58" t="s">
        <v>843</v>
      </c>
      <c r="HA6" s="58" t="s">
        <v>843</v>
      </c>
      <c r="HB6" s="58" t="s">
        <v>843</v>
      </c>
      <c r="HC6" s="58" t="s">
        <v>844</v>
      </c>
      <c r="HD6" s="58" t="s">
        <v>844</v>
      </c>
      <c r="HE6" s="58" t="s">
        <v>844</v>
      </c>
      <c r="HF6" s="58" t="s">
        <v>844</v>
      </c>
      <c r="HG6" s="58" t="s">
        <v>844</v>
      </c>
      <c r="HH6" s="58" t="s">
        <v>844</v>
      </c>
      <c r="HI6" s="58" t="s">
        <v>844</v>
      </c>
      <c r="HJ6" s="58" t="s">
        <v>845</v>
      </c>
    </row>
    <row r="7" spans="1:218" s="154" customFormat="1" ht="13" x14ac:dyDescent="0.25">
      <c r="A7" s="150" t="s">
        <v>27</v>
      </c>
      <c r="B7" s="151" t="str">
        <f ca="1">CONCATENATE("HF"," ",VLOOKUP("Unprotected",Zone_Traduction,ref_langue,FALSE))</f>
        <v>HF Unprotected</v>
      </c>
      <c r="C7" s="152">
        <v>7</v>
      </c>
      <c r="D7" s="152">
        <v>6</v>
      </c>
      <c r="E7" s="152">
        <v>4</v>
      </c>
      <c r="F7" s="152">
        <v>2</v>
      </c>
      <c r="G7" s="152">
        <v>1</v>
      </c>
      <c r="H7" s="153">
        <v>0</v>
      </c>
      <c r="J7" s="129" t="str">
        <f ca="1">CONCATENATE("BWG"," ",VLOOKUP("crossbow",Zone_Traduction,ref_langue,FALSE))</f>
        <v>BWG Crossbow</v>
      </c>
      <c r="K7" s="141">
        <v>3</v>
      </c>
      <c r="M7" s="40"/>
      <c r="N7" s="152"/>
      <c r="Q7" s="129" t="str">
        <f ca="1">CONCATENATE("infanterie"," ",VLOOKUP("Impact foot",Zone_Traduction,ref_langue,FALSE))</f>
        <v>infanterie Impact Foot</v>
      </c>
      <c r="R7" s="130">
        <v>1</v>
      </c>
      <c r="AF7" s="155">
        <v>5</v>
      </c>
      <c r="AG7" s="154">
        <f t="shared" si="0"/>
        <v>1</v>
      </c>
      <c r="AH7" s="154">
        <f t="shared" si="0"/>
        <v>2</v>
      </c>
      <c r="AI7" s="154">
        <f t="shared" si="0"/>
        <v>3</v>
      </c>
      <c r="AJ7" s="154">
        <f t="shared" si="0"/>
        <v>4</v>
      </c>
      <c r="AK7" s="154">
        <v>10</v>
      </c>
      <c r="BI7" s="156"/>
      <c r="BJ7" s="18"/>
      <c r="BK7" s="18"/>
      <c r="BL7" s="18">
        <f ca="1">SUM(BI13:BI51)</f>
        <v>0</v>
      </c>
      <c r="BM7" s="18">
        <f ca="1">IF(SUM(List!$N$23:$N$61)=0,0,COUNTIF(List!P23:P61,"&lt;&gt;-"))</f>
        <v>0</v>
      </c>
      <c r="BN7" s="19">
        <f>VLOOKUP(BN8,table_eclaireur,2,TRUE)</f>
        <v>0</v>
      </c>
      <c r="BP7" s="143" t="s">
        <v>283</v>
      </c>
      <c r="BQ7" s="60"/>
      <c r="BR7" s="60"/>
      <c r="BS7" s="60" t="s">
        <v>403</v>
      </c>
      <c r="BT7" s="60"/>
      <c r="BU7" s="144" t="s">
        <v>404</v>
      </c>
      <c r="BV7" s="144" t="s">
        <v>404</v>
      </c>
      <c r="BW7" s="60" t="s">
        <v>405</v>
      </c>
      <c r="BX7" s="60" t="s">
        <v>405</v>
      </c>
      <c r="BY7" s="60" t="s">
        <v>405</v>
      </c>
      <c r="BZ7" s="60" t="s">
        <v>405</v>
      </c>
      <c r="CA7" s="60" t="s">
        <v>405</v>
      </c>
      <c r="CB7" s="60" t="s">
        <v>405</v>
      </c>
      <c r="CC7" s="60" t="s">
        <v>405</v>
      </c>
      <c r="CD7" s="60" t="s">
        <v>406</v>
      </c>
      <c r="CE7" s="60" t="s">
        <v>406</v>
      </c>
      <c r="CF7" s="60" t="s">
        <v>406</v>
      </c>
      <c r="CG7" s="60" t="s">
        <v>406</v>
      </c>
      <c r="CH7" s="60" t="s">
        <v>407</v>
      </c>
      <c r="CI7" s="60" t="s">
        <v>407</v>
      </c>
      <c r="CJ7" s="60" t="s">
        <v>407</v>
      </c>
      <c r="CK7" s="60" t="s">
        <v>407</v>
      </c>
      <c r="CL7" s="144" t="s">
        <v>408</v>
      </c>
      <c r="CM7" s="144" t="s">
        <v>408</v>
      </c>
      <c r="CN7" s="144" t="s">
        <v>408</v>
      </c>
      <c r="CO7" s="144" t="s">
        <v>408</v>
      </c>
      <c r="CP7" s="60" t="s">
        <v>409</v>
      </c>
      <c r="CQ7" s="60" t="s">
        <v>409</v>
      </c>
      <c r="CR7" s="60" t="s">
        <v>410</v>
      </c>
      <c r="CS7" s="60" t="s">
        <v>410</v>
      </c>
      <c r="CT7" s="60" t="s">
        <v>411</v>
      </c>
      <c r="CU7" s="60" t="s">
        <v>411</v>
      </c>
      <c r="CV7" s="60" t="s">
        <v>411</v>
      </c>
      <c r="CW7" s="60" t="s">
        <v>411</v>
      </c>
      <c r="CX7" s="60" t="s">
        <v>412</v>
      </c>
      <c r="CY7" s="60" t="s">
        <v>412</v>
      </c>
      <c r="CZ7" s="60" t="s">
        <v>412</v>
      </c>
      <c r="DA7" s="144" t="s">
        <v>413</v>
      </c>
      <c r="DB7" s="144" t="s">
        <v>413</v>
      </c>
      <c r="DC7" s="144" t="s">
        <v>413</v>
      </c>
      <c r="DD7" s="144" t="s">
        <v>413</v>
      </c>
      <c r="DE7" s="144" t="s">
        <v>413</v>
      </c>
      <c r="DF7" s="60" t="s">
        <v>414</v>
      </c>
      <c r="DG7" s="60" t="s">
        <v>414</v>
      </c>
      <c r="DH7" s="60" t="s">
        <v>414</v>
      </c>
      <c r="DI7" s="144" t="s">
        <v>415</v>
      </c>
      <c r="DJ7" s="144" t="s">
        <v>415</v>
      </c>
      <c r="DK7" s="144" t="s">
        <v>415</v>
      </c>
      <c r="DL7" s="144" t="s">
        <v>415</v>
      </c>
      <c r="DM7" s="60" t="s">
        <v>416</v>
      </c>
      <c r="DN7" s="60" t="s">
        <v>416</v>
      </c>
      <c r="DO7" s="60" t="s">
        <v>416</v>
      </c>
      <c r="DP7" s="60" t="s">
        <v>416</v>
      </c>
      <c r="DQ7" s="60" t="s">
        <v>417</v>
      </c>
      <c r="DR7" s="60" t="s">
        <v>417</v>
      </c>
      <c r="DS7" s="60" t="s">
        <v>417</v>
      </c>
      <c r="DT7" s="60" t="s">
        <v>418</v>
      </c>
      <c r="DU7" s="60" t="s">
        <v>418</v>
      </c>
      <c r="DV7" s="60" t="s">
        <v>418</v>
      </c>
      <c r="DW7" s="60" t="s">
        <v>418</v>
      </c>
      <c r="DX7" s="60" t="s">
        <v>418</v>
      </c>
      <c r="DY7" s="60" t="s">
        <v>419</v>
      </c>
      <c r="DZ7" s="60" t="s">
        <v>419</v>
      </c>
      <c r="EA7" s="60" t="s">
        <v>419</v>
      </c>
      <c r="EB7" s="60" t="s">
        <v>419</v>
      </c>
      <c r="EC7" s="60" t="s">
        <v>420</v>
      </c>
      <c r="ED7" s="60" t="s">
        <v>420</v>
      </c>
      <c r="EE7" s="60" t="s">
        <v>420</v>
      </c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8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60"/>
      <c r="GA7" s="161"/>
      <c r="GB7" s="161"/>
      <c r="GC7" s="161"/>
      <c r="GD7" s="161"/>
      <c r="GE7" s="161"/>
    </row>
    <row r="8" spans="1:218" ht="12.75" customHeight="1" x14ac:dyDescent="0.3">
      <c r="A8" s="125" t="s">
        <v>27</v>
      </c>
      <c r="B8" s="129" t="str">
        <f ca="1">CONCATENATE("MF"," ",VLOOKUP("Heavily armoured",Zone_Traduction,ref_langue,FALSE))</f>
        <v>MF Heavily Armoured</v>
      </c>
      <c r="C8" s="60">
        <v>16</v>
      </c>
      <c r="D8" s="60">
        <v>13</v>
      </c>
      <c r="E8" s="60">
        <v>9</v>
      </c>
      <c r="F8" s="60"/>
      <c r="G8" s="60">
        <v>2</v>
      </c>
      <c r="H8" s="138">
        <v>0</v>
      </c>
      <c r="J8" s="129" t="str">
        <f ca="1">CONCATENATE("BWG"," ",VLOOKUP("light artillery",Zone_Traduction,ref_langue,FALSE))</f>
        <v>BWG Light Artillery</v>
      </c>
      <c r="K8" s="141">
        <v>6</v>
      </c>
      <c r="M8" s="38"/>
      <c r="N8" s="60"/>
      <c r="Q8" s="129" t="str">
        <f ca="1">CONCATENATE("infanterie"," ",VLOOKUP("Impact foot heavy weapon",Zone_Traduction,ref_langue,FALSE))</f>
        <v>infanterie Impact Foot Heavy Weapon</v>
      </c>
      <c r="R8" s="130">
        <v>3</v>
      </c>
      <c r="AF8" s="128">
        <v>6</v>
      </c>
      <c r="AG8" s="58">
        <f t="shared" si="0"/>
        <v>0.83333333333333326</v>
      </c>
      <c r="AH8" s="58">
        <f t="shared" si="0"/>
        <v>1.6666666666666665</v>
      </c>
      <c r="AI8" s="58">
        <f t="shared" si="0"/>
        <v>2.5</v>
      </c>
      <c r="AJ8" s="58">
        <f t="shared" si="0"/>
        <v>3.333333333333333</v>
      </c>
      <c r="AK8" s="58">
        <f t="shared" si="0"/>
        <v>4.166666666666667</v>
      </c>
      <c r="AL8" s="58">
        <v>10</v>
      </c>
      <c r="BI8" s="54"/>
      <c r="BJ8" s="2"/>
      <c r="BK8" s="2"/>
      <c r="BL8" s="2">
        <f ca="1">SUM(BL13:BL38)</f>
        <v>0</v>
      </c>
      <c r="BM8" s="2" t="str">
        <f ca="1">VLOOKUP(BM7,ordre_de_marche,2)</f>
        <v>0-0-0-0</v>
      </c>
      <c r="BN8" s="2">
        <f>SUM(BN13:BN38)</f>
        <v>0</v>
      </c>
      <c r="BP8" s="143" t="s">
        <v>280</v>
      </c>
      <c r="BQ8" s="60"/>
      <c r="BR8" s="60"/>
      <c r="BS8" s="60" t="s">
        <v>343</v>
      </c>
      <c r="BT8" s="60" t="s">
        <v>343</v>
      </c>
      <c r="BU8" s="60" t="s">
        <v>343</v>
      </c>
      <c r="BV8" s="60" t="s">
        <v>343</v>
      </c>
      <c r="BW8" s="60" t="s">
        <v>343</v>
      </c>
      <c r="BX8" s="60" t="s">
        <v>343</v>
      </c>
      <c r="BY8" s="60" t="s">
        <v>343</v>
      </c>
      <c r="BZ8" s="60" t="s">
        <v>344</v>
      </c>
      <c r="CA8" s="60" t="s">
        <v>344</v>
      </c>
      <c r="CB8" s="60" t="s">
        <v>344</v>
      </c>
      <c r="CC8" s="60" t="s">
        <v>344</v>
      </c>
      <c r="CD8" s="60" t="s">
        <v>344</v>
      </c>
      <c r="CE8" s="60" t="s">
        <v>345</v>
      </c>
      <c r="CF8" s="60" t="s">
        <v>345</v>
      </c>
      <c r="CG8" s="60" t="s">
        <v>345</v>
      </c>
      <c r="CH8" s="60" t="s">
        <v>346</v>
      </c>
      <c r="CI8" s="60" t="s">
        <v>346</v>
      </c>
      <c r="CJ8" s="60" t="s">
        <v>347</v>
      </c>
      <c r="CK8" s="60" t="s">
        <v>348</v>
      </c>
      <c r="CL8" s="60" t="s">
        <v>348</v>
      </c>
      <c r="CM8" s="144" t="s">
        <v>349</v>
      </c>
      <c r="CN8" s="144" t="s">
        <v>349</v>
      </c>
      <c r="CO8" s="144" t="s">
        <v>349</v>
      </c>
      <c r="CP8" s="144" t="s">
        <v>349</v>
      </c>
      <c r="CQ8" s="60" t="s">
        <v>350</v>
      </c>
      <c r="CR8" s="60" t="s">
        <v>350</v>
      </c>
      <c r="CS8" s="60" t="s">
        <v>350</v>
      </c>
      <c r="CT8" s="60" t="s">
        <v>350</v>
      </c>
      <c r="CU8" s="60" t="s">
        <v>351</v>
      </c>
      <c r="CV8" s="60" t="s">
        <v>351</v>
      </c>
      <c r="CW8" s="60" t="s">
        <v>351</v>
      </c>
      <c r="CX8" s="60" t="s">
        <v>351</v>
      </c>
      <c r="CY8" s="60" t="s">
        <v>352</v>
      </c>
      <c r="CZ8" s="60" t="s">
        <v>352</v>
      </c>
      <c r="DA8" s="60" t="s">
        <v>353</v>
      </c>
      <c r="DB8" s="60" t="s">
        <v>353</v>
      </c>
      <c r="DC8" s="60" t="s">
        <v>353</v>
      </c>
      <c r="DD8" s="60" t="s">
        <v>354</v>
      </c>
      <c r="DE8" s="60" t="s">
        <v>354</v>
      </c>
      <c r="DF8" s="60" t="s">
        <v>354</v>
      </c>
      <c r="DG8" s="60" t="s">
        <v>354</v>
      </c>
      <c r="DH8" s="60" t="s">
        <v>354</v>
      </c>
      <c r="DI8" s="60" t="s">
        <v>354</v>
      </c>
      <c r="DJ8" s="60" t="s">
        <v>355</v>
      </c>
      <c r="DK8" s="60" t="s">
        <v>355</v>
      </c>
      <c r="DL8" s="60" t="s">
        <v>356</v>
      </c>
      <c r="DM8" s="60" t="s">
        <v>356</v>
      </c>
      <c r="DN8" s="60" t="s">
        <v>357</v>
      </c>
      <c r="DO8" s="60" t="s">
        <v>357</v>
      </c>
      <c r="DP8" s="60" t="s">
        <v>358</v>
      </c>
      <c r="DQ8" s="60" t="s">
        <v>358</v>
      </c>
      <c r="DR8" s="60" t="s">
        <v>358</v>
      </c>
      <c r="DS8" s="60" t="s">
        <v>358</v>
      </c>
      <c r="DT8" s="60" t="s">
        <v>359</v>
      </c>
      <c r="DU8" s="60" t="s">
        <v>360</v>
      </c>
      <c r="DV8" s="60" t="s">
        <v>360</v>
      </c>
      <c r="DW8" s="60" t="s">
        <v>360</v>
      </c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4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4"/>
      <c r="GA8" s="165"/>
      <c r="GB8" s="165"/>
      <c r="GC8" s="165"/>
      <c r="GD8" s="165"/>
      <c r="GE8" s="165"/>
    </row>
    <row r="9" spans="1:218" ht="12.75" customHeight="1" x14ac:dyDescent="0.3">
      <c r="A9" s="125" t="s">
        <v>27</v>
      </c>
      <c r="B9" s="129" t="str">
        <f ca="1">CONCATENATE("MF"," ",VLOOKUP("Armoured",Zone_Traduction,ref_langue,FALSE))</f>
        <v>MF Armoured</v>
      </c>
      <c r="C9" s="60">
        <v>13</v>
      </c>
      <c r="D9" s="60">
        <v>11</v>
      </c>
      <c r="E9" s="60">
        <v>7</v>
      </c>
      <c r="F9" s="60">
        <v>5</v>
      </c>
      <c r="G9" s="60">
        <v>1</v>
      </c>
      <c r="H9" s="138">
        <v>0</v>
      </c>
      <c r="J9" s="129" t="str">
        <f ca="1">CONCATENATE("BWG"," ",VLOOKUP("Longbow",Zone_Traduction,ref_langue,FALSE))</f>
        <v>BWG Longbow</v>
      </c>
      <c r="K9" s="141">
        <v>6</v>
      </c>
      <c r="M9" s="38"/>
      <c r="N9" s="60"/>
      <c r="Q9" s="129" t="str">
        <f ca="1">CONCATENATE("infanterie"," ",VLOOKUP("Impact foot Skilled swordsmen",Zone_Traduction,ref_langue,FALSE))</f>
        <v>infanterie Impact Foot Skilled Swordsmen</v>
      </c>
      <c r="R9" s="130">
        <v>3</v>
      </c>
      <c r="AF9" s="128">
        <v>7</v>
      </c>
      <c r="AG9" s="58">
        <f t="shared" si="0"/>
        <v>0.71428571428571419</v>
      </c>
      <c r="AH9" s="58">
        <f t="shared" si="0"/>
        <v>1.4285714285714284</v>
      </c>
      <c r="AI9" s="58">
        <f t="shared" si="0"/>
        <v>2.1428571428571428</v>
      </c>
      <c r="AJ9" s="58">
        <f t="shared" si="0"/>
        <v>2.8571428571428568</v>
      </c>
      <c r="AK9" s="58">
        <f t="shared" si="0"/>
        <v>3.5714285714285716</v>
      </c>
      <c r="AL9" s="58">
        <f t="shared" si="0"/>
        <v>4.2857142857142856</v>
      </c>
      <c r="AM9" s="58">
        <v>10</v>
      </c>
      <c r="BI9" s="54"/>
      <c r="BJ9" s="2"/>
      <c r="BK9" s="2"/>
      <c r="BL9" s="2"/>
      <c r="BM9" s="2"/>
      <c r="BN9" s="2"/>
      <c r="BP9" s="166" t="s">
        <v>282</v>
      </c>
      <c r="BQ9" s="152"/>
      <c r="BR9" s="152"/>
      <c r="BS9" s="152"/>
      <c r="BT9" s="152"/>
      <c r="BU9" s="152" t="s">
        <v>381</v>
      </c>
      <c r="BV9" s="152" t="s">
        <v>381</v>
      </c>
      <c r="BW9" s="152" t="s">
        <v>381</v>
      </c>
      <c r="BX9" s="152" t="s">
        <v>381</v>
      </c>
      <c r="BY9" s="152" t="s">
        <v>381</v>
      </c>
      <c r="BZ9" s="152" t="s">
        <v>381</v>
      </c>
      <c r="CA9" s="152" t="s">
        <v>383</v>
      </c>
      <c r="CB9" s="152" t="s">
        <v>383</v>
      </c>
      <c r="CC9" s="152" t="s">
        <v>383</v>
      </c>
      <c r="CD9" s="152" t="s">
        <v>383</v>
      </c>
      <c r="CE9" s="152" t="s">
        <v>383</v>
      </c>
      <c r="CF9" s="152" t="s">
        <v>383</v>
      </c>
      <c r="CG9" s="152" t="s">
        <v>382</v>
      </c>
      <c r="CH9" s="152" t="s">
        <v>382</v>
      </c>
      <c r="CI9" s="152" t="s">
        <v>382</v>
      </c>
      <c r="CJ9" s="152" t="s">
        <v>382</v>
      </c>
      <c r="CK9" s="152" t="s">
        <v>382</v>
      </c>
      <c r="CL9" s="152" t="s">
        <v>384</v>
      </c>
      <c r="CM9" s="152" t="s">
        <v>384</v>
      </c>
      <c r="CN9" s="152" t="s">
        <v>384</v>
      </c>
      <c r="CO9" s="152" t="s">
        <v>385</v>
      </c>
      <c r="CP9" s="152" t="s">
        <v>385</v>
      </c>
      <c r="CQ9" s="152" t="s">
        <v>385</v>
      </c>
      <c r="CR9" s="152" t="s">
        <v>386</v>
      </c>
      <c r="CS9" s="152" t="s">
        <v>386</v>
      </c>
      <c r="CT9" s="152" t="s">
        <v>386</v>
      </c>
      <c r="CU9" s="152" t="s">
        <v>387</v>
      </c>
      <c r="CV9" s="152" t="s">
        <v>387</v>
      </c>
      <c r="CW9" s="152" t="s">
        <v>387</v>
      </c>
      <c r="CX9" s="152" t="s">
        <v>388</v>
      </c>
      <c r="CY9" s="152" t="s">
        <v>388</v>
      </c>
      <c r="CZ9" s="152" t="s">
        <v>388</v>
      </c>
      <c r="DA9" s="152" t="s">
        <v>389</v>
      </c>
      <c r="DB9" s="152" t="s">
        <v>389</v>
      </c>
      <c r="DC9" s="152" t="s">
        <v>389</v>
      </c>
      <c r="DD9" s="167" t="s">
        <v>390</v>
      </c>
      <c r="DE9" s="152" t="s">
        <v>391</v>
      </c>
      <c r="DF9" s="152" t="s">
        <v>391</v>
      </c>
      <c r="DG9" s="152" t="s">
        <v>391</v>
      </c>
      <c r="DH9" s="152" t="s">
        <v>392</v>
      </c>
      <c r="DI9" s="167" t="s">
        <v>393</v>
      </c>
      <c r="DJ9" s="167" t="s">
        <v>393</v>
      </c>
      <c r="DK9" s="152" t="s">
        <v>394</v>
      </c>
      <c r="DL9" s="152" t="s">
        <v>394</v>
      </c>
      <c r="DM9" s="152" t="s">
        <v>394</v>
      </c>
      <c r="DN9" s="152" t="s">
        <v>394</v>
      </c>
      <c r="DO9" s="152" t="s">
        <v>395</v>
      </c>
      <c r="DP9" s="152" t="s">
        <v>395</v>
      </c>
      <c r="DQ9" s="152" t="s">
        <v>395</v>
      </c>
      <c r="DR9" s="152" t="s">
        <v>396</v>
      </c>
      <c r="DS9" s="152" t="s">
        <v>396</v>
      </c>
      <c r="DT9" s="152" t="s">
        <v>396</v>
      </c>
      <c r="DU9" s="152" t="s">
        <v>396</v>
      </c>
      <c r="DV9" s="168" t="s">
        <v>397</v>
      </c>
      <c r="DW9" s="168" t="s">
        <v>397</v>
      </c>
      <c r="DX9" s="168" t="s">
        <v>397</v>
      </c>
      <c r="DY9" s="169" t="s">
        <v>398</v>
      </c>
      <c r="DZ9" s="169" t="s">
        <v>398</v>
      </c>
      <c r="EA9" s="169" t="s">
        <v>399</v>
      </c>
      <c r="EB9" s="169" t="s">
        <v>399</v>
      </c>
      <c r="EC9" s="169" t="s">
        <v>399</v>
      </c>
      <c r="ED9" s="170" t="s">
        <v>400</v>
      </c>
      <c r="EE9" s="170" t="s">
        <v>400</v>
      </c>
      <c r="EF9" s="170" t="s">
        <v>401</v>
      </c>
      <c r="EG9" s="170" t="s">
        <v>401</v>
      </c>
      <c r="EH9" s="170" t="s">
        <v>401</v>
      </c>
      <c r="EI9" s="170" t="s">
        <v>401</v>
      </c>
      <c r="EJ9" s="170" t="s">
        <v>402</v>
      </c>
      <c r="EK9" s="170" t="s">
        <v>402</v>
      </c>
      <c r="EL9" s="170" t="s">
        <v>402</v>
      </c>
      <c r="EM9" s="171"/>
      <c r="EN9" s="171"/>
      <c r="EO9" s="171"/>
      <c r="EP9" s="171"/>
      <c r="EQ9" s="171"/>
      <c r="ER9" s="171"/>
      <c r="ES9" s="171"/>
      <c r="ET9" s="171"/>
      <c r="EU9" s="171"/>
      <c r="EV9" s="172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4"/>
      <c r="GA9" s="175"/>
      <c r="GB9" s="175"/>
      <c r="GC9" s="175"/>
      <c r="GD9" s="175"/>
      <c r="GE9" s="175"/>
    </row>
    <row r="10" spans="1:218" ht="12.75" customHeight="1" x14ac:dyDescent="0.25">
      <c r="A10" s="125" t="s">
        <v>27</v>
      </c>
      <c r="B10" s="129" t="str">
        <f ca="1">CONCATENATE("MF"," ",VLOOKUP("Protected",Zone_Traduction,ref_langue,FALSE))</f>
        <v>MF Protected</v>
      </c>
      <c r="C10" s="60">
        <v>10</v>
      </c>
      <c r="D10" s="60">
        <v>8</v>
      </c>
      <c r="E10" s="60">
        <v>5</v>
      </c>
      <c r="F10" s="60">
        <v>3</v>
      </c>
      <c r="G10" s="60">
        <v>1</v>
      </c>
      <c r="H10" s="138">
        <v>0</v>
      </c>
      <c r="J10" s="129" t="str">
        <f ca="1">CONCATENATE("infanterie"," ",VLOOKUP("Bow",Zone_Traduction,ref_langue,FALSE))</f>
        <v>infanterie Bow</v>
      </c>
      <c r="K10" s="141">
        <v>1</v>
      </c>
      <c r="Q10" s="129" t="str">
        <f ca="1">CONCATENATE("infanterie"," ",VLOOKUP("Impact foot Swordsmen",Zone_Traduction,ref_langue,FALSE))</f>
        <v>infanterie Impact Foot Swordsmen</v>
      </c>
      <c r="R10" s="130">
        <v>2</v>
      </c>
      <c r="AF10" s="128">
        <v>8</v>
      </c>
      <c r="AG10" s="58">
        <f t="shared" si="0"/>
        <v>0.625</v>
      </c>
      <c r="AH10" s="58">
        <f t="shared" si="0"/>
        <v>1.25</v>
      </c>
      <c r="AI10" s="58">
        <f t="shared" si="0"/>
        <v>1.875</v>
      </c>
      <c r="AJ10" s="58">
        <f t="shared" si="0"/>
        <v>2.5</v>
      </c>
      <c r="AK10" s="58">
        <f t="shared" si="0"/>
        <v>3.125</v>
      </c>
      <c r="AL10" s="58">
        <f t="shared" si="0"/>
        <v>3.75</v>
      </c>
      <c r="AM10" s="58">
        <f t="shared" si="0"/>
        <v>4.375</v>
      </c>
      <c r="AN10" s="58">
        <v>10</v>
      </c>
      <c r="BI10" s="54"/>
      <c r="BJ10" s="2"/>
      <c r="BK10" s="2"/>
      <c r="BL10" s="2"/>
      <c r="BM10" s="2"/>
      <c r="BN10" s="2"/>
      <c r="BP10" s="131" t="s">
        <v>473</v>
      </c>
      <c r="BQ10" s="14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138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138"/>
    </row>
    <row r="11" spans="1:218" ht="12.75" customHeight="1" x14ac:dyDescent="0.25">
      <c r="A11" s="125" t="s">
        <v>27</v>
      </c>
      <c r="B11" s="129" t="str">
        <f ca="1">CONCATENATE("MF"," ",VLOOKUP("Unprotected",Zone_Traduction,ref_langue,FALSE))</f>
        <v>MF Unprotected</v>
      </c>
      <c r="C11" s="60">
        <v>7</v>
      </c>
      <c r="D11" s="60">
        <v>6</v>
      </c>
      <c r="E11" s="60">
        <v>4</v>
      </c>
      <c r="F11" s="60">
        <v>2</v>
      </c>
      <c r="G11" s="60">
        <v>1</v>
      </c>
      <c r="H11" s="138">
        <v>0</v>
      </c>
      <c r="J11" s="151" t="str">
        <f ca="1">CONCATENATE("infanterie"," ",VLOOKUP("Bw*",Zone_Traduction,ref_langue,FALSE))</f>
        <v>infanterie Bw*</v>
      </c>
      <c r="K11" s="176">
        <v>1</v>
      </c>
      <c r="Q11" s="129" t="str">
        <f ca="1">CONCATENATE("infanterie"," ",VLOOKUP("Light spear Heavy Weapon",Zone_Traduction,ref_langue,FALSE))</f>
        <v>infanterie Light Spear Heavy Weapon</v>
      </c>
      <c r="R11" s="130">
        <v>2</v>
      </c>
      <c r="AF11" s="128">
        <v>9</v>
      </c>
      <c r="AG11" s="58">
        <f t="shared" si="0"/>
        <v>0.55555555555555558</v>
      </c>
      <c r="AH11" s="58">
        <f t="shared" si="0"/>
        <v>1.1111111111111112</v>
      </c>
      <c r="AI11" s="58">
        <f t="shared" si="0"/>
        <v>1.6666666666666665</v>
      </c>
      <c r="AJ11" s="58">
        <f t="shared" si="0"/>
        <v>2.2222222222222223</v>
      </c>
      <c r="AK11" s="58">
        <f t="shared" si="0"/>
        <v>2.7777777777777777</v>
      </c>
      <c r="AL11" s="58">
        <f t="shared" si="0"/>
        <v>3.333333333333333</v>
      </c>
      <c r="AM11" s="58">
        <f t="shared" si="0"/>
        <v>3.8888888888888888</v>
      </c>
      <c r="AN11" s="58">
        <f t="shared" si="0"/>
        <v>4.4444444444444446</v>
      </c>
      <c r="AO11" s="58">
        <v>10</v>
      </c>
      <c r="BI11" s="54"/>
      <c r="BJ11" s="2"/>
      <c r="BK11" s="2"/>
      <c r="BL11" s="2"/>
      <c r="BM11" s="2"/>
      <c r="BN11" s="2"/>
      <c r="BP11" s="131" t="s">
        <v>470</v>
      </c>
      <c r="BQ11" s="140"/>
      <c r="BR11" s="60"/>
      <c r="BS11" s="60"/>
      <c r="BT11" s="149" t="s">
        <v>530</v>
      </c>
      <c r="BU11" s="149" t="s">
        <v>530</v>
      </c>
      <c r="BV11" s="149" t="s">
        <v>530</v>
      </c>
      <c r="BW11" s="149" t="s">
        <v>530</v>
      </c>
      <c r="BX11" s="149" t="s">
        <v>531</v>
      </c>
      <c r="BY11" s="149" t="s">
        <v>531</v>
      </c>
      <c r="BZ11" s="149" t="s">
        <v>531</v>
      </c>
      <c r="CA11" s="149" t="s">
        <v>531</v>
      </c>
      <c r="CB11" s="149" t="s">
        <v>532</v>
      </c>
      <c r="CC11" s="149" t="s">
        <v>532</v>
      </c>
      <c r="CD11" s="149" t="s">
        <v>532</v>
      </c>
      <c r="CE11" s="149" t="s">
        <v>532</v>
      </c>
      <c r="CF11" s="149" t="s">
        <v>532</v>
      </c>
      <c r="CG11" s="149" t="s">
        <v>533</v>
      </c>
      <c r="CH11" s="149" t="s">
        <v>533</v>
      </c>
      <c r="CI11" s="149" t="s">
        <v>533</v>
      </c>
      <c r="CJ11" s="149" t="s">
        <v>534</v>
      </c>
      <c r="CK11" s="149" t="s">
        <v>534</v>
      </c>
      <c r="CL11" s="149" t="s">
        <v>534</v>
      </c>
      <c r="CM11" s="149" t="s">
        <v>534</v>
      </c>
      <c r="CN11" s="149" t="s">
        <v>535</v>
      </c>
      <c r="CO11" s="149" t="s">
        <v>535</v>
      </c>
      <c r="CP11" s="149" t="s">
        <v>535</v>
      </c>
      <c r="CQ11" s="149" t="s">
        <v>536</v>
      </c>
      <c r="CR11" s="149" t="s">
        <v>536</v>
      </c>
      <c r="CS11" s="149" t="s">
        <v>536</v>
      </c>
      <c r="CT11" s="149" t="s">
        <v>536</v>
      </c>
      <c r="CU11" s="149" t="s">
        <v>536</v>
      </c>
      <c r="CV11" s="149" t="s">
        <v>537</v>
      </c>
      <c r="CW11" s="149" t="s">
        <v>537</v>
      </c>
      <c r="CX11" s="149" t="s">
        <v>537</v>
      </c>
      <c r="CY11" s="149" t="s">
        <v>537</v>
      </c>
      <c r="CZ11" s="149" t="s">
        <v>537</v>
      </c>
      <c r="DA11" s="178" t="s">
        <v>538</v>
      </c>
      <c r="DB11" s="178" t="s">
        <v>538</v>
      </c>
      <c r="DC11" s="178" t="s">
        <v>538</v>
      </c>
      <c r="DD11" s="178" t="s">
        <v>538</v>
      </c>
      <c r="DE11" s="178" t="s">
        <v>538</v>
      </c>
      <c r="DF11" s="178" t="s">
        <v>538</v>
      </c>
      <c r="DG11" s="178" t="s">
        <v>538</v>
      </c>
      <c r="DH11" s="149" t="s">
        <v>539</v>
      </c>
      <c r="DI11" s="149" t="s">
        <v>539</v>
      </c>
      <c r="DJ11" s="149" t="s">
        <v>539</v>
      </c>
      <c r="DK11" s="149" t="s">
        <v>539</v>
      </c>
      <c r="DL11" s="149" t="s">
        <v>539</v>
      </c>
      <c r="DM11" s="149" t="s">
        <v>539</v>
      </c>
      <c r="DN11" s="149" t="s">
        <v>540</v>
      </c>
      <c r="DO11" s="149" t="s">
        <v>540</v>
      </c>
      <c r="DP11" s="149" t="s">
        <v>540</v>
      </c>
      <c r="DQ11" s="149" t="s">
        <v>540</v>
      </c>
      <c r="DR11" s="149" t="s">
        <v>540</v>
      </c>
      <c r="DS11" s="149" t="s">
        <v>541</v>
      </c>
      <c r="DT11" s="149" t="s">
        <v>541</v>
      </c>
      <c r="DU11" s="149" t="s">
        <v>542</v>
      </c>
      <c r="DV11" s="149" t="s">
        <v>542</v>
      </c>
      <c r="DW11" s="149" t="s">
        <v>542</v>
      </c>
      <c r="DX11" s="149" t="s">
        <v>543</v>
      </c>
      <c r="DY11" s="149" t="s">
        <v>543</v>
      </c>
      <c r="DZ11" s="149" t="s">
        <v>543</v>
      </c>
      <c r="EA11" s="149" t="s">
        <v>544</v>
      </c>
      <c r="EB11" s="149" t="s">
        <v>544</v>
      </c>
      <c r="EC11" s="149" t="s">
        <v>544</v>
      </c>
      <c r="ED11" s="149" t="s">
        <v>544</v>
      </c>
      <c r="EE11" s="149" t="s">
        <v>545</v>
      </c>
      <c r="EF11" s="149" t="s">
        <v>545</v>
      </c>
      <c r="EG11" s="149" t="s">
        <v>545</v>
      </c>
      <c r="EH11" s="149" t="s">
        <v>545</v>
      </c>
      <c r="EI11" s="149" t="s">
        <v>546</v>
      </c>
      <c r="EJ11" s="149" t="s">
        <v>546</v>
      </c>
      <c r="EK11" s="149" t="s">
        <v>546</v>
      </c>
      <c r="EL11" s="149" t="s">
        <v>547</v>
      </c>
      <c r="EM11" s="149" t="s">
        <v>547</v>
      </c>
      <c r="EN11" s="149" t="s">
        <v>547</v>
      </c>
      <c r="EO11" s="149" t="s">
        <v>548</v>
      </c>
      <c r="EP11" s="149" t="s">
        <v>548</v>
      </c>
      <c r="EQ11" s="149" t="s">
        <v>549</v>
      </c>
      <c r="ER11" s="149" t="s">
        <v>549</v>
      </c>
      <c r="ES11" s="149" t="s">
        <v>549</v>
      </c>
      <c r="ET11" s="149" t="s">
        <v>550</v>
      </c>
      <c r="EU11" s="149" t="s">
        <v>550</v>
      </c>
      <c r="EV11" s="149" t="s">
        <v>550</v>
      </c>
      <c r="EW11" s="149" t="s">
        <v>551</v>
      </c>
      <c r="EX11" s="149" t="s">
        <v>551</v>
      </c>
      <c r="EY11" s="149" t="s">
        <v>551</v>
      </c>
      <c r="EZ11" s="149" t="s">
        <v>551</v>
      </c>
      <c r="FA11" s="149" t="s">
        <v>552</v>
      </c>
      <c r="FB11" s="149" t="s">
        <v>552</v>
      </c>
      <c r="FC11" s="149" t="s">
        <v>552</v>
      </c>
      <c r="FD11" s="149" t="s">
        <v>552</v>
      </c>
      <c r="FE11" s="149" t="s">
        <v>553</v>
      </c>
      <c r="FF11" s="149" t="s">
        <v>553</v>
      </c>
      <c r="FG11" s="149" t="s">
        <v>553</v>
      </c>
      <c r="FH11" s="149" t="s">
        <v>553</v>
      </c>
      <c r="FI11" s="149" t="s">
        <v>553</v>
      </c>
      <c r="FJ11" s="149" t="s">
        <v>554</v>
      </c>
      <c r="FK11" s="149" t="s">
        <v>554</v>
      </c>
      <c r="FL11" s="149" t="s">
        <v>554</v>
      </c>
      <c r="FM11" s="149" t="s">
        <v>555</v>
      </c>
      <c r="FN11" s="149" t="s">
        <v>555</v>
      </c>
      <c r="FO11" s="149" t="s">
        <v>555</v>
      </c>
      <c r="FP11" s="149" t="s">
        <v>556</v>
      </c>
      <c r="FQ11" s="149" t="s">
        <v>556</v>
      </c>
      <c r="FR11" s="149" t="s">
        <v>556</v>
      </c>
      <c r="FS11" s="149" t="s">
        <v>556</v>
      </c>
      <c r="FT11" s="149" t="s">
        <v>557</v>
      </c>
      <c r="FU11" s="149" t="s">
        <v>557</v>
      </c>
      <c r="FV11" s="149" t="s">
        <v>557</v>
      </c>
      <c r="FW11" s="149" t="s">
        <v>558</v>
      </c>
      <c r="FX11" s="149" t="s">
        <v>558</v>
      </c>
      <c r="FY11" s="149" t="s">
        <v>558</v>
      </c>
      <c r="FZ11" s="179" t="s">
        <v>559</v>
      </c>
      <c r="GA11" s="179" t="s">
        <v>559</v>
      </c>
      <c r="GB11" s="179" t="s">
        <v>559</v>
      </c>
    </row>
    <row r="12" spans="1:218" ht="12.75" customHeight="1" x14ac:dyDescent="0.25">
      <c r="A12" s="125" t="s">
        <v>27</v>
      </c>
      <c r="B12" s="129" t="str">
        <f ca="1">CONCATENATE("LF"," ",VLOOKUP("Heavily armoured",Zone_Traduction,ref_langue,FALSE))</f>
        <v>LF Heavily Armoured</v>
      </c>
      <c r="C12" s="60">
        <v>16</v>
      </c>
      <c r="D12" s="60">
        <v>13</v>
      </c>
      <c r="E12" s="60">
        <v>9</v>
      </c>
      <c r="F12" s="60"/>
      <c r="G12" s="60">
        <v>2</v>
      </c>
      <c r="H12" s="138">
        <v>0</v>
      </c>
      <c r="J12" s="129" t="str">
        <f ca="1">CONCATENATE("infanterie"," ",VLOOKUP("crossbow",Zone_Traduction,ref_langue,FALSE))</f>
        <v>infanterie Crossbow</v>
      </c>
      <c r="K12" s="180">
        <v>1</v>
      </c>
      <c r="Q12" s="129" t="str">
        <f ca="1">CONCATENATE("infanterie"," ",VLOOKUP("Light spear Skilled swordsmen",Zone_Traduction,ref_langue,FALSE))</f>
        <v>infanterie Light Spear Skilled Swordsmen</v>
      </c>
      <c r="R12" s="162">
        <v>2</v>
      </c>
      <c r="AF12" s="128">
        <v>10</v>
      </c>
      <c r="AG12" s="58">
        <f>(AG$2/$AF12)*5</f>
        <v>0.5</v>
      </c>
      <c r="AH12" s="58">
        <f t="shared" ref="AH12:AO12" si="1">(AH2/$AF12)*5</f>
        <v>1</v>
      </c>
      <c r="AI12" s="58">
        <f t="shared" si="1"/>
        <v>1.5</v>
      </c>
      <c r="AJ12" s="58">
        <f t="shared" si="1"/>
        <v>2</v>
      </c>
      <c r="AK12" s="58">
        <f t="shared" si="1"/>
        <v>2.5</v>
      </c>
      <c r="AL12" s="58">
        <f t="shared" si="1"/>
        <v>3</v>
      </c>
      <c r="AM12" s="58">
        <f t="shared" si="1"/>
        <v>3.5</v>
      </c>
      <c r="AN12" s="58">
        <f t="shared" si="1"/>
        <v>4</v>
      </c>
      <c r="AO12" s="58">
        <f t="shared" si="1"/>
        <v>4.5</v>
      </c>
      <c r="AP12" s="58">
        <v>10</v>
      </c>
      <c r="BH12" s="54"/>
      <c r="BI12" s="75" t="s">
        <v>659</v>
      </c>
      <c r="BJ12" s="75"/>
      <c r="BK12" s="75"/>
      <c r="BL12" s="75"/>
      <c r="BM12" s="75" t="str">
        <f ca="1">VLOOKUP(BL7,Attrition_Table,2)</f>
        <v>-</v>
      </c>
      <c r="BN12" s="75"/>
      <c r="BP12" s="143" t="s">
        <v>278</v>
      </c>
      <c r="BQ12" s="60"/>
      <c r="BR12" s="60"/>
      <c r="BS12" s="60"/>
      <c r="BT12" s="60"/>
      <c r="BU12" s="149" t="s">
        <v>285</v>
      </c>
      <c r="BV12" s="149" t="s">
        <v>285</v>
      </c>
      <c r="BW12" s="149" t="s">
        <v>285</v>
      </c>
      <c r="BX12" s="149" t="s">
        <v>285</v>
      </c>
      <c r="BY12" s="149" t="s">
        <v>286</v>
      </c>
      <c r="BZ12" s="149" t="s">
        <v>286</v>
      </c>
      <c r="CA12" s="149" t="s">
        <v>286</v>
      </c>
      <c r="CB12" s="149" t="s">
        <v>286</v>
      </c>
      <c r="CC12" s="149" t="s">
        <v>286</v>
      </c>
      <c r="CD12" s="149" t="s">
        <v>286</v>
      </c>
      <c r="CE12" s="149" t="s">
        <v>287</v>
      </c>
      <c r="CF12" s="149" t="s">
        <v>287</v>
      </c>
      <c r="CG12" s="149" t="s">
        <v>287</v>
      </c>
      <c r="CH12" s="149" t="s">
        <v>287</v>
      </c>
      <c r="CI12" s="149" t="s">
        <v>288</v>
      </c>
      <c r="CJ12" s="149" t="s">
        <v>288</v>
      </c>
      <c r="CK12" s="149" t="s">
        <v>288</v>
      </c>
      <c r="CL12" s="149" t="s">
        <v>289</v>
      </c>
      <c r="CM12" s="149" t="s">
        <v>289</v>
      </c>
      <c r="CN12" s="149" t="s">
        <v>289</v>
      </c>
      <c r="CO12" s="149" t="s">
        <v>289</v>
      </c>
      <c r="CP12" s="149" t="s">
        <v>289</v>
      </c>
      <c r="CQ12" s="149" t="s">
        <v>290</v>
      </c>
      <c r="CR12" s="149" t="s">
        <v>290</v>
      </c>
      <c r="CS12" s="149" t="s">
        <v>291</v>
      </c>
      <c r="CT12" s="149" t="s">
        <v>291</v>
      </c>
      <c r="CU12" s="149" t="s">
        <v>291</v>
      </c>
      <c r="CV12" s="149" t="s">
        <v>291</v>
      </c>
      <c r="CW12" s="149" t="s">
        <v>292</v>
      </c>
      <c r="CX12" s="149" t="s">
        <v>292</v>
      </c>
      <c r="CY12" s="149" t="s">
        <v>293</v>
      </c>
      <c r="CZ12" s="149" t="s">
        <v>293</v>
      </c>
      <c r="DA12" s="149" t="s">
        <v>294</v>
      </c>
      <c r="DB12" s="149" t="s">
        <v>294</v>
      </c>
      <c r="DC12" s="149" t="s">
        <v>294</v>
      </c>
      <c r="DD12" s="149" t="s">
        <v>295</v>
      </c>
      <c r="DE12" s="149" t="s">
        <v>295</v>
      </c>
      <c r="DF12" s="149" t="s">
        <v>295</v>
      </c>
      <c r="DG12" s="149" t="s">
        <v>296</v>
      </c>
      <c r="DH12" s="149" t="s">
        <v>296</v>
      </c>
      <c r="DI12" s="149" t="s">
        <v>296</v>
      </c>
      <c r="DJ12" s="149" t="s">
        <v>297</v>
      </c>
      <c r="DK12" s="149" t="s">
        <v>297</v>
      </c>
      <c r="DL12" s="149" t="s">
        <v>297</v>
      </c>
      <c r="DM12" s="149" t="s">
        <v>298</v>
      </c>
      <c r="DN12" s="149" t="s">
        <v>298</v>
      </c>
      <c r="DO12" s="149" t="s">
        <v>298</v>
      </c>
      <c r="DP12" s="149" t="s">
        <v>299</v>
      </c>
      <c r="DQ12" s="149" t="s">
        <v>299</v>
      </c>
      <c r="DR12" s="149" t="s">
        <v>299</v>
      </c>
      <c r="DS12" s="149" t="s">
        <v>300</v>
      </c>
      <c r="DT12" s="149" t="s">
        <v>300</v>
      </c>
      <c r="DU12" s="149" t="s">
        <v>300</v>
      </c>
      <c r="DV12" s="149" t="s">
        <v>300</v>
      </c>
      <c r="DW12" s="149" t="s">
        <v>300</v>
      </c>
      <c r="DX12" s="149" t="s">
        <v>301</v>
      </c>
      <c r="DY12" s="149" t="s">
        <v>301</v>
      </c>
      <c r="DZ12" s="149" t="s">
        <v>301</v>
      </c>
      <c r="EA12" s="149" t="s">
        <v>301</v>
      </c>
      <c r="EB12" s="149" t="s">
        <v>302</v>
      </c>
      <c r="EC12" s="149" t="s">
        <v>302</v>
      </c>
      <c r="ED12" s="149" t="s">
        <v>302</v>
      </c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2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2"/>
      <c r="GA12" s="183"/>
      <c r="GB12" s="183"/>
      <c r="GC12" s="183"/>
      <c r="GD12" s="183"/>
      <c r="GE12" s="183"/>
    </row>
    <row r="13" spans="1:218" ht="12.75" customHeight="1" x14ac:dyDescent="0.25">
      <c r="A13" s="125" t="s">
        <v>27</v>
      </c>
      <c r="B13" s="129" t="str">
        <f ca="1">CONCATENATE("LF"," ",VLOOKUP("Armoured",Zone_Traduction,ref_langue,FALSE))</f>
        <v>LF Armoured</v>
      </c>
      <c r="C13" s="60">
        <v>13</v>
      </c>
      <c r="D13" s="60">
        <v>11</v>
      </c>
      <c r="E13" s="60">
        <v>7</v>
      </c>
      <c r="F13" s="60">
        <v>5</v>
      </c>
      <c r="G13" s="60">
        <v>0</v>
      </c>
      <c r="H13" s="138">
        <v>0</v>
      </c>
      <c r="J13" s="177" t="s">
        <v>849</v>
      </c>
      <c r="K13" s="141">
        <v>1</v>
      </c>
      <c r="M13" s="184" t="s">
        <v>75</v>
      </c>
      <c r="N13" s="142"/>
      <c r="Q13" s="129" t="str">
        <f ca="1">CONCATENATE("infanterie"," ",VLOOKUP("Light spear Swordsmen",Zone_Traduction,ref_langue,FALSE))</f>
        <v>infanterie Light spear Swordsmen</v>
      </c>
      <c r="R13" s="162">
        <v>1</v>
      </c>
      <c r="AF13" s="128">
        <v>11</v>
      </c>
      <c r="AG13" s="58">
        <f>(AG$2/$AF13)*5</f>
        <v>0.45454545454545459</v>
      </c>
      <c r="AH13" s="58">
        <f t="shared" ref="AH13:AP13" si="2">(AH$2/$AF13)*5</f>
        <v>0.90909090909090917</v>
      </c>
      <c r="AI13" s="58">
        <f t="shared" si="2"/>
        <v>1.3636363636363635</v>
      </c>
      <c r="AJ13" s="58">
        <f t="shared" si="2"/>
        <v>1.8181818181818183</v>
      </c>
      <c r="AK13" s="58">
        <f t="shared" si="2"/>
        <v>2.2727272727272725</v>
      </c>
      <c r="AL13" s="58">
        <f t="shared" si="2"/>
        <v>2.7272727272727271</v>
      </c>
      <c r="AM13" s="58">
        <f t="shared" si="2"/>
        <v>3.1818181818181817</v>
      </c>
      <c r="AN13" s="58">
        <f t="shared" si="2"/>
        <v>3.6363636363636367</v>
      </c>
      <c r="AO13" s="58">
        <f t="shared" si="2"/>
        <v>4.0909090909090908</v>
      </c>
      <c r="AP13" s="58">
        <f t="shared" si="2"/>
        <v>4.545454545454545</v>
      </c>
      <c r="AQ13" s="58">
        <v>10</v>
      </c>
      <c r="BI13" s="54">
        <f ca="1">IF(List!P23="-",0,IF(OR(List!E23="LH",List!E23="LF"),0.5,IF(List!E23="SCh",0,1)))</f>
        <v>0</v>
      </c>
      <c r="BJ13" s="54" t="str">
        <f>IF(OR(List!$E23="HF",List!$E23="MF",List!$E23="LF"),"infanterie",IF(OR(List!$E23="Kn",List!$E23="Ct",List!$E23="Cv",List!$E23="LH",List!$E23="LCh",List!$E23="HCh",List!$E23="SCh",List!$E23="EL"),"montes",IF(OR(List!$E23="BWG"),"BWG","special")))</f>
        <v>special</v>
      </c>
      <c r="BK13" s="54">
        <f ca="1">VLOOKUP(List!$E23&amp;" "&amp;List!$F23,Table_budget,MATCH(List!$G23,Colonnes_table_budget,FALSE),FALSE)
   +IF(List!$H23=VLOOKUP("Drilled",Zone_Traduction,ref_langue,FALSE),VLOOKUP(List!$E23&amp;" "&amp;List!$F23,Table_budget,MATCH(VLOOKUP("Drilled",Zone_Traduction,ref_langue,FALSE),Colonnes_table_budget,FALSE),FALSE),0)
   +IF(ISERROR(VLOOKUP(BJ13&amp;" "&amp;$G13,Table_armes_tir,2,FALSE)),0,VLOOKUP(BJ13&amp;" "&amp;$G13,Table_armes_tir,2,FALSE))
   +IF(ISERROR(VLOOKUP(BJ13&amp;" "&amp;$I13,Table_armes_melee,2,FALSE)),0,VLOOKUP(BJ13&amp;" "&amp;$I13,Table_armes_melee,2,FALSE))
   +IF(ISERROR(VLOOKUP($J13,Table_special,2,FALSE)),0,VLOOKUP($J13,Table_special,2,FALSE))</f>
        <v>0</v>
      </c>
      <c r="BL13" s="54">
        <f ca="1">List!$M23*List!$L23</f>
        <v>0</v>
      </c>
      <c r="BN13" s="54">
        <f>IF(OR(List!$E23="CV",List!$E23="LH",List!$E23="LCH"),List!$L23,0)</f>
        <v>0</v>
      </c>
      <c r="BP13" s="143" t="s">
        <v>279</v>
      </c>
      <c r="BQ13" s="60"/>
      <c r="BR13" s="60"/>
      <c r="BS13" s="60"/>
      <c r="BT13" s="60"/>
      <c r="BU13" s="149" t="s">
        <v>303</v>
      </c>
      <c r="BV13" s="149" t="s">
        <v>303</v>
      </c>
      <c r="BW13" s="149" t="s">
        <v>303</v>
      </c>
      <c r="BX13" s="149" t="s">
        <v>303</v>
      </c>
      <c r="BY13" s="149" t="s">
        <v>303</v>
      </c>
      <c r="BZ13" s="149" t="s">
        <v>304</v>
      </c>
      <c r="CA13" s="149" t="s">
        <v>304</v>
      </c>
      <c r="CB13" s="149" t="s">
        <v>304</v>
      </c>
      <c r="CC13" s="149" t="s">
        <v>304</v>
      </c>
      <c r="CD13" s="149" t="s">
        <v>305</v>
      </c>
      <c r="CE13" s="149" t="s">
        <v>305</v>
      </c>
      <c r="CF13" s="149" t="s">
        <v>305</v>
      </c>
      <c r="CG13" s="149" t="s">
        <v>305</v>
      </c>
      <c r="CH13" s="149" t="s">
        <v>306</v>
      </c>
      <c r="CI13" s="149" t="s">
        <v>306</v>
      </c>
      <c r="CJ13" s="149" t="s">
        <v>306</v>
      </c>
      <c r="CK13" s="149" t="s">
        <v>308</v>
      </c>
      <c r="CL13" s="149" t="s">
        <v>308</v>
      </c>
      <c r="CM13" s="149" t="s">
        <v>308</v>
      </c>
      <c r="CN13" s="149" t="s">
        <v>307</v>
      </c>
      <c r="CO13" s="149" t="s">
        <v>307</v>
      </c>
      <c r="CP13" s="149" t="s">
        <v>309</v>
      </c>
      <c r="CQ13" s="149" t="s">
        <v>310</v>
      </c>
      <c r="CR13" s="149" t="s">
        <v>310</v>
      </c>
      <c r="CS13" s="149" t="s">
        <v>310</v>
      </c>
      <c r="CT13" s="149" t="s">
        <v>311</v>
      </c>
      <c r="CU13" s="149" t="s">
        <v>311</v>
      </c>
      <c r="CV13" s="149" t="s">
        <v>311</v>
      </c>
      <c r="CW13" s="149" t="s">
        <v>312</v>
      </c>
      <c r="CX13" s="149" t="s">
        <v>312</v>
      </c>
      <c r="CY13" s="149" t="s">
        <v>312</v>
      </c>
      <c r="CZ13" s="149" t="s">
        <v>312</v>
      </c>
      <c r="DA13" s="149" t="s">
        <v>312</v>
      </c>
      <c r="DB13" s="149" t="s">
        <v>312</v>
      </c>
      <c r="DC13" s="149" t="s">
        <v>313</v>
      </c>
      <c r="DD13" s="149" t="s">
        <v>313</v>
      </c>
      <c r="DE13" s="149" t="s">
        <v>314</v>
      </c>
      <c r="DF13" s="149" t="s">
        <v>314</v>
      </c>
      <c r="DG13" s="149" t="s">
        <v>315</v>
      </c>
      <c r="DH13" s="149" t="s">
        <v>315</v>
      </c>
      <c r="DI13" s="149" t="s">
        <v>316</v>
      </c>
      <c r="DJ13" s="149" t="s">
        <v>316</v>
      </c>
      <c r="DK13" s="149" t="s">
        <v>316</v>
      </c>
      <c r="DL13" s="149" t="s">
        <v>317</v>
      </c>
      <c r="DM13" s="149" t="s">
        <v>317</v>
      </c>
      <c r="DN13" s="149" t="s">
        <v>317</v>
      </c>
      <c r="DO13" s="149" t="s">
        <v>317</v>
      </c>
      <c r="DP13" s="149" t="s">
        <v>318</v>
      </c>
      <c r="DQ13" s="149" t="s">
        <v>318</v>
      </c>
      <c r="DR13" s="149" t="s">
        <v>318</v>
      </c>
      <c r="DS13" s="149" t="s">
        <v>319</v>
      </c>
      <c r="DT13" s="149" t="s">
        <v>319</v>
      </c>
      <c r="DU13" s="149" t="s">
        <v>319</v>
      </c>
      <c r="DV13" s="149" t="s">
        <v>319</v>
      </c>
      <c r="DW13" s="149" t="s">
        <v>319</v>
      </c>
      <c r="DX13" s="149" t="s">
        <v>320</v>
      </c>
      <c r="DY13" s="149" t="s">
        <v>320</v>
      </c>
      <c r="DZ13" s="149" t="s">
        <v>320</v>
      </c>
      <c r="EA13" s="149" t="s">
        <v>321</v>
      </c>
      <c r="EB13" s="149" t="s">
        <v>321</v>
      </c>
      <c r="EC13" s="149" t="s">
        <v>321</v>
      </c>
      <c r="ED13" s="149" t="s">
        <v>322</v>
      </c>
      <c r="EE13" s="149" t="s">
        <v>322</v>
      </c>
      <c r="EF13" s="149" t="s">
        <v>323</v>
      </c>
      <c r="EG13" s="149" t="s">
        <v>323</v>
      </c>
      <c r="EH13" s="149" t="s">
        <v>323</v>
      </c>
      <c r="EI13" s="149" t="s">
        <v>323</v>
      </c>
      <c r="EJ13" s="149" t="s">
        <v>324</v>
      </c>
      <c r="EK13" s="149" t="s">
        <v>324</v>
      </c>
      <c r="EL13" s="149" t="s">
        <v>324</v>
      </c>
      <c r="EM13" s="149" t="s">
        <v>324</v>
      </c>
      <c r="EN13" s="149" t="s">
        <v>325</v>
      </c>
      <c r="EO13" s="149" t="s">
        <v>325</v>
      </c>
      <c r="EP13" s="149" t="s">
        <v>326</v>
      </c>
      <c r="EQ13" s="149" t="s">
        <v>326</v>
      </c>
      <c r="ER13" s="149" t="s">
        <v>326</v>
      </c>
      <c r="ES13" s="149" t="s">
        <v>327</v>
      </c>
      <c r="ET13" s="149" t="s">
        <v>327</v>
      </c>
      <c r="EU13" s="149" t="s">
        <v>327</v>
      </c>
      <c r="EV13" s="179" t="s">
        <v>328</v>
      </c>
      <c r="EW13" s="179" t="s">
        <v>328</v>
      </c>
      <c r="EX13" s="179" t="s">
        <v>328</v>
      </c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6"/>
      <c r="GA13" s="187"/>
      <c r="GB13" s="187"/>
      <c r="GC13" s="187"/>
      <c r="GD13" s="187"/>
      <c r="GE13" s="187"/>
    </row>
    <row r="14" spans="1:218" ht="12.75" customHeight="1" x14ac:dyDescent="0.25">
      <c r="A14" s="125" t="s">
        <v>27</v>
      </c>
      <c r="B14" s="129" t="str">
        <f ca="1">CONCATENATE("LF"," ",VLOOKUP("Protected",Zone_Traduction,ref_langue,FALSE))</f>
        <v>LF Protected</v>
      </c>
      <c r="C14" s="60">
        <v>10</v>
      </c>
      <c r="D14" s="60">
        <v>8</v>
      </c>
      <c r="E14" s="60">
        <v>5</v>
      </c>
      <c r="F14" s="60">
        <v>3</v>
      </c>
      <c r="G14" s="60">
        <v>0</v>
      </c>
      <c r="H14" s="138">
        <v>0</v>
      </c>
      <c r="J14" s="129" t="str">
        <f ca="1">CONCATENATE("infanterie"," ",VLOOKUP("Javelins",Zone_Traduction,ref_langue,FALSE))</f>
        <v>infanterie Javelins</v>
      </c>
      <c r="K14" s="180">
        <v>1</v>
      </c>
      <c r="M14" s="188">
        <v>0</v>
      </c>
      <c r="N14" s="138">
        <v>0</v>
      </c>
      <c r="Q14" s="129" t="str">
        <f ca="1">CONCATENATE("infanterie"," ",VLOOKUP("Offensive spearmen",Zone_Traduction,ref_langue,FALSE))</f>
        <v>infanterie Offensive Spearmen</v>
      </c>
      <c r="R14" s="130">
        <v>2</v>
      </c>
      <c r="AF14" s="128">
        <v>12</v>
      </c>
      <c r="AG14" s="58">
        <f t="shared" ref="AG14:AV25" si="3">(AG$2/$AF14)*5</f>
        <v>0.41666666666666663</v>
      </c>
      <c r="AH14" s="58">
        <f t="shared" si="3"/>
        <v>0.83333333333333326</v>
      </c>
      <c r="AI14" s="58">
        <f t="shared" si="3"/>
        <v>1.25</v>
      </c>
      <c r="AJ14" s="58">
        <f t="shared" si="3"/>
        <v>1.6666666666666665</v>
      </c>
      <c r="AK14" s="58">
        <f t="shared" si="3"/>
        <v>2.0833333333333335</v>
      </c>
      <c r="AL14" s="58">
        <f t="shared" si="3"/>
        <v>2.5</v>
      </c>
      <c r="AM14" s="58">
        <f t="shared" si="3"/>
        <v>2.916666666666667</v>
      </c>
      <c r="AN14" s="58">
        <f t="shared" si="3"/>
        <v>3.333333333333333</v>
      </c>
      <c r="AO14" s="58">
        <f t="shared" si="3"/>
        <v>3.75</v>
      </c>
      <c r="AP14" s="58">
        <f t="shared" si="3"/>
        <v>4.166666666666667</v>
      </c>
      <c r="AQ14" s="58">
        <f t="shared" si="3"/>
        <v>4.583333333333333</v>
      </c>
      <c r="AR14" s="58">
        <v>10</v>
      </c>
      <c r="BI14" s="54">
        <f>IF(List!P24="-",0,IF(OR(List!E24="LH",List!E24="LF"),0.5,IF(List!E24="SCh",0,1)))</f>
        <v>0</v>
      </c>
      <c r="BJ14" s="54" t="str">
        <f>IF(OR(List!$E24="HF",List!$E24="MF",List!$E24="LF"),"infanterie",IF(OR(List!$E24="Kn",List!$E24="Ct",List!$E24="Cv",List!$E24="LH",List!$E24="LCh",List!$E24="HCh",List!$E24="SCh",List!$E24="EL"),"montes",IF(OR(List!$E24="BWG"),"BWG","special")))</f>
        <v>special</v>
      </c>
      <c r="BK14" s="54">
        <f ca="1">VLOOKUP(List!$E24&amp;" "&amp;List!$F24,Table_budget,MATCH(List!$G24,Colonnes_table_budget,FALSE),FALSE)
   +IF(List!$H24=VLOOKUP("Drilled",Zone_Traduction,ref_langue,FALSE),VLOOKUP(List!$E24&amp;" "&amp;List!$F24,Table_budget,MATCH(VLOOKUP("Drilled",Zone_Traduction,ref_langue,FALSE),Colonnes_table_budget,FALSE),FALSE),0)
   +IF(ISERROR(VLOOKUP(BJ14&amp;" "&amp;$G14,Table_armes_tir,2,FALSE)),0,VLOOKUP(BJ14&amp;" "&amp;$G14,Table_armes_tir,2,FALSE))
   +IF(ISERROR(VLOOKUP(BJ14&amp;" "&amp;$I14,Table_armes_melee,2,FALSE)),0,VLOOKUP(BJ14&amp;" "&amp;$I14,Table_armes_melee,2,FALSE))
   +IF(ISERROR(VLOOKUP($J14,Table_special,2,FALSE)),0,VLOOKUP($J14,Table_special,2,FALSE))</f>
        <v>0</v>
      </c>
      <c r="BL14" s="54">
        <f ca="1">List!$M24*List!$L24</f>
        <v>0</v>
      </c>
      <c r="BM14" s="53"/>
      <c r="BN14" s="54">
        <f>IF(OR(List!$E24="CV",List!$E24="LH",List!$E24="LCH"),List!$L24,0)</f>
        <v>0</v>
      </c>
      <c r="BP14" s="143" t="s">
        <v>362</v>
      </c>
      <c r="BQ14" s="140"/>
      <c r="BR14" s="60"/>
      <c r="BS14" s="60"/>
      <c r="BT14" s="60"/>
      <c r="BU14" s="149" t="s">
        <v>474</v>
      </c>
      <c r="BV14" s="149" t="s">
        <v>475</v>
      </c>
      <c r="BW14" s="149" t="s">
        <v>475</v>
      </c>
      <c r="BX14" s="149" t="s">
        <v>475</v>
      </c>
      <c r="BY14" s="149" t="s">
        <v>475</v>
      </c>
      <c r="BZ14" s="149" t="s">
        <v>476</v>
      </c>
      <c r="CA14" s="149" t="s">
        <v>476</v>
      </c>
      <c r="CB14" s="149" t="s">
        <v>476</v>
      </c>
      <c r="CC14" s="149" t="s">
        <v>476</v>
      </c>
      <c r="CD14" s="149" t="s">
        <v>477</v>
      </c>
      <c r="CE14" s="149" t="s">
        <v>477</v>
      </c>
      <c r="CF14" s="149" t="s">
        <v>477</v>
      </c>
      <c r="CG14" s="149" t="s">
        <v>478</v>
      </c>
      <c r="CH14" s="149" t="s">
        <v>479</v>
      </c>
      <c r="CI14" s="149" t="s">
        <v>479</v>
      </c>
      <c r="CJ14" s="149" t="s">
        <v>479</v>
      </c>
      <c r="CK14" s="149" t="s">
        <v>480</v>
      </c>
      <c r="CL14" s="149" t="s">
        <v>480</v>
      </c>
      <c r="CM14" s="149" t="s">
        <v>480</v>
      </c>
      <c r="CN14" s="149" t="s">
        <v>480</v>
      </c>
      <c r="CO14" s="149" t="s">
        <v>481</v>
      </c>
      <c r="CP14" s="149" t="s">
        <v>481</v>
      </c>
      <c r="CQ14" s="149" t="s">
        <v>481</v>
      </c>
      <c r="CR14" s="149" t="s">
        <v>481</v>
      </c>
      <c r="CS14" s="149" t="s">
        <v>481</v>
      </c>
      <c r="CT14" s="149" t="s">
        <v>482</v>
      </c>
      <c r="CU14" s="149" t="s">
        <v>482</v>
      </c>
      <c r="CV14" s="149" t="s">
        <v>482</v>
      </c>
      <c r="CW14" s="149" t="s">
        <v>483</v>
      </c>
      <c r="CX14" s="149" t="s">
        <v>483</v>
      </c>
      <c r="CY14" s="149" t="s">
        <v>483</v>
      </c>
      <c r="CZ14" s="149" t="s">
        <v>483</v>
      </c>
      <c r="DA14" s="149" t="s">
        <v>484</v>
      </c>
      <c r="DB14" s="149" t="s">
        <v>484</v>
      </c>
      <c r="DC14" s="149" t="s">
        <v>484</v>
      </c>
      <c r="DD14" s="149" t="s">
        <v>485</v>
      </c>
      <c r="DE14" s="149" t="s">
        <v>485</v>
      </c>
      <c r="DF14" s="149" t="s">
        <v>485</v>
      </c>
      <c r="DG14" s="149" t="s">
        <v>486</v>
      </c>
      <c r="DH14" s="149" t="s">
        <v>486</v>
      </c>
      <c r="DI14" s="149" t="s">
        <v>487</v>
      </c>
      <c r="DJ14" s="149" t="s">
        <v>487</v>
      </c>
      <c r="DK14" s="149" t="s">
        <v>487</v>
      </c>
      <c r="DL14" s="149" t="s">
        <v>488</v>
      </c>
      <c r="DM14" s="149" t="s">
        <v>488</v>
      </c>
      <c r="DN14" s="149" t="s">
        <v>488</v>
      </c>
      <c r="DO14" s="149" t="s">
        <v>489</v>
      </c>
      <c r="DP14" s="149" t="s">
        <v>489</v>
      </c>
      <c r="DQ14" s="149" t="s">
        <v>490</v>
      </c>
      <c r="DR14" s="149" t="s">
        <v>490</v>
      </c>
      <c r="DS14" s="149" t="s">
        <v>491</v>
      </c>
      <c r="DT14" s="149" t="s">
        <v>491</v>
      </c>
      <c r="DU14" s="149" t="s">
        <v>491</v>
      </c>
      <c r="DV14" s="149" t="s">
        <v>492</v>
      </c>
      <c r="DW14" s="149" t="s">
        <v>492</v>
      </c>
      <c r="DX14" s="149" t="s">
        <v>492</v>
      </c>
      <c r="DY14" s="149" t="s">
        <v>493</v>
      </c>
      <c r="DZ14" s="149" t="s">
        <v>493</v>
      </c>
      <c r="EA14" s="149" t="s">
        <v>494</v>
      </c>
      <c r="EB14" s="149" t="s">
        <v>494</v>
      </c>
      <c r="EC14" s="149" t="s">
        <v>494</v>
      </c>
      <c r="ED14" s="149" t="s">
        <v>495</v>
      </c>
      <c r="EE14" s="149" t="s">
        <v>495</v>
      </c>
      <c r="EF14" s="149" t="s">
        <v>495</v>
      </c>
      <c r="EG14" s="149" t="s">
        <v>495</v>
      </c>
      <c r="EH14" s="149" t="s">
        <v>495</v>
      </c>
      <c r="EI14" s="149" t="s">
        <v>495</v>
      </c>
      <c r="EJ14" s="149" t="s">
        <v>495</v>
      </c>
      <c r="EK14" s="149" t="s">
        <v>496</v>
      </c>
      <c r="EL14" s="149" t="s">
        <v>496</v>
      </c>
      <c r="EM14" s="149" t="s">
        <v>497</v>
      </c>
      <c r="EN14" s="149" t="s">
        <v>497</v>
      </c>
      <c r="EO14" s="149" t="s">
        <v>497</v>
      </c>
      <c r="EP14" s="189"/>
      <c r="EQ14" s="189"/>
      <c r="ER14" s="189"/>
      <c r="ES14" s="189"/>
      <c r="ET14" s="189"/>
      <c r="EU14" s="189"/>
      <c r="EV14" s="190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90"/>
      <c r="GA14" s="191"/>
      <c r="GB14" s="191"/>
      <c r="GC14" s="191"/>
      <c r="GD14" s="191"/>
      <c r="GE14" s="191"/>
    </row>
    <row r="15" spans="1:218" ht="12.75" customHeight="1" x14ac:dyDescent="0.25">
      <c r="A15" s="125" t="s">
        <v>27</v>
      </c>
      <c r="B15" s="129" t="str">
        <f ca="1">CONCATENATE("LF"," ",VLOOKUP("Unprotected",Zone_Traduction,ref_langue,FALSE))</f>
        <v>LF Unprotected</v>
      </c>
      <c r="C15" s="60">
        <v>7</v>
      </c>
      <c r="D15" s="60">
        <v>6</v>
      </c>
      <c r="E15" s="60">
        <v>4</v>
      </c>
      <c r="F15" s="60">
        <v>2</v>
      </c>
      <c r="G15" s="60">
        <v>0</v>
      </c>
      <c r="H15" s="138">
        <v>0</v>
      </c>
      <c r="J15" s="129" t="str">
        <f ca="1">CONCATENATE("infanterie"," ",VLOOKUP("Longbow",Zone_Traduction,ref_langue,FALSE))</f>
        <v>infanterie Longbow</v>
      </c>
      <c r="K15" s="141">
        <v>2</v>
      </c>
      <c r="M15" s="188">
        <v>10</v>
      </c>
      <c r="N15" s="138">
        <v>1</v>
      </c>
      <c r="Q15" s="177" t="s">
        <v>847</v>
      </c>
      <c r="R15" s="130">
        <v>2</v>
      </c>
      <c r="AF15" s="128">
        <v>13</v>
      </c>
      <c r="AG15" s="58">
        <f t="shared" si="3"/>
        <v>0.38461538461538464</v>
      </c>
      <c r="AH15" s="58">
        <f t="shared" si="3"/>
        <v>0.76923076923076927</v>
      </c>
      <c r="AI15" s="58">
        <f t="shared" si="3"/>
        <v>1.153846153846154</v>
      </c>
      <c r="AJ15" s="58">
        <f t="shared" si="3"/>
        <v>1.5384615384615385</v>
      </c>
      <c r="AK15" s="58">
        <f t="shared" si="3"/>
        <v>1.9230769230769231</v>
      </c>
      <c r="AL15" s="58">
        <f t="shared" si="3"/>
        <v>2.3076923076923079</v>
      </c>
      <c r="AM15" s="58">
        <f t="shared" si="3"/>
        <v>2.6923076923076921</v>
      </c>
      <c r="AN15" s="58">
        <f t="shared" si="3"/>
        <v>3.0769230769230771</v>
      </c>
      <c r="AO15" s="58">
        <f t="shared" si="3"/>
        <v>3.4615384615384617</v>
      </c>
      <c r="AP15" s="58">
        <f t="shared" si="3"/>
        <v>3.8461538461538463</v>
      </c>
      <c r="AQ15" s="58">
        <f t="shared" si="3"/>
        <v>4.2307692307692308</v>
      </c>
      <c r="AR15" s="58">
        <f t="shared" si="3"/>
        <v>4.6153846153846159</v>
      </c>
      <c r="AS15" s="58">
        <v>10</v>
      </c>
      <c r="BI15" s="54">
        <f>IF(List!P25="-",0,IF(OR(List!E25="LH",List!E25="LF"),0.5,IF(List!E25="SCh",0,1)))</f>
        <v>0</v>
      </c>
      <c r="BJ15" s="54" t="str">
        <f>IF(OR(List!$E25="HF",List!$E25="MF",List!$E25="LF"),"infanterie",IF(OR(List!$E25="Kn",List!$E25="Ct",List!$E25="Cv",List!$E25="LH",List!$E25="LCh",List!$E25="HCh",List!$E25="SCh",List!$E25="EL"),"montes",IF(OR(List!$E25="BWG"),"BWG","special")))</f>
        <v>special</v>
      </c>
      <c r="BK15" s="54">
        <f ca="1">VLOOKUP(List!$E25&amp;" "&amp;List!$F25,Table_budget,MATCH(List!$G25,Colonnes_table_budget,FALSE),FALSE)
   +IF(List!$H25=VLOOKUP("Drilled",Zone_Traduction,ref_langue,FALSE),VLOOKUP(List!$E25&amp;" "&amp;List!$F25,Table_budget,MATCH(VLOOKUP("Drilled",Zone_Traduction,ref_langue,FALSE),Colonnes_table_budget,FALSE),FALSE),0)
   +IF(ISERROR(VLOOKUP(BJ15&amp;" "&amp;$G15,Table_armes_tir,2,FALSE)),0,VLOOKUP(BJ15&amp;" "&amp;$G15,Table_armes_tir,2,FALSE))
   +IF(ISERROR(VLOOKUP(BJ15&amp;" "&amp;$I15,Table_armes_melee,2,FALSE)),0,VLOOKUP(BJ15&amp;" "&amp;$I15,Table_armes_melee,2,FALSE))
   +IF(ISERROR(VLOOKUP($J15,Table_special,2,FALSE)),0,VLOOKUP($J15,Table_special,2,FALSE))</f>
        <v>0</v>
      </c>
      <c r="BL15" s="54">
        <f ca="1">List!$M25*List!$L25</f>
        <v>0</v>
      </c>
      <c r="BM15" s="53"/>
      <c r="BN15" s="54">
        <f>IF(OR(List!$E25="CV",List!$E25="LH",List!$E25="LCH"),List!$L25,0)</f>
        <v>0</v>
      </c>
      <c r="BP15" s="166" t="s">
        <v>281</v>
      </c>
      <c r="BQ15" s="60"/>
      <c r="BR15" s="60"/>
      <c r="BS15" s="60"/>
      <c r="BT15" s="60" t="s">
        <v>364</v>
      </c>
      <c r="BU15" s="60" t="s">
        <v>364</v>
      </c>
      <c r="BV15" s="60" t="s">
        <v>364</v>
      </c>
      <c r="BW15" s="60" t="s">
        <v>364</v>
      </c>
      <c r="BX15" s="60" t="s">
        <v>365</v>
      </c>
      <c r="BY15" s="60" t="s">
        <v>365</v>
      </c>
      <c r="BZ15" s="60" t="s">
        <v>365</v>
      </c>
      <c r="CA15" s="60" t="s">
        <v>366</v>
      </c>
      <c r="CB15" s="60" t="s">
        <v>366</v>
      </c>
      <c r="CC15" s="60" t="s">
        <v>366</v>
      </c>
      <c r="CD15" s="60" t="s">
        <v>366</v>
      </c>
      <c r="CE15" s="60" t="s">
        <v>367</v>
      </c>
      <c r="CF15" s="60" t="s">
        <v>367</v>
      </c>
      <c r="CG15" s="60" t="s">
        <v>368</v>
      </c>
      <c r="CH15" s="60" t="s">
        <v>368</v>
      </c>
      <c r="CI15" s="60" t="s">
        <v>368</v>
      </c>
      <c r="CJ15" s="60" t="s">
        <v>369</v>
      </c>
      <c r="CK15" s="60" t="s">
        <v>369</v>
      </c>
      <c r="CL15" s="60" t="s">
        <v>370</v>
      </c>
      <c r="CM15" s="60" t="s">
        <v>370</v>
      </c>
      <c r="CN15" s="60" t="s">
        <v>370</v>
      </c>
      <c r="CO15" s="60" t="s">
        <v>370</v>
      </c>
      <c r="CP15" s="60" t="s">
        <v>371</v>
      </c>
      <c r="CQ15" s="60" t="s">
        <v>371</v>
      </c>
      <c r="CR15" s="60" t="s">
        <v>372</v>
      </c>
      <c r="CS15" s="60" t="s">
        <v>372</v>
      </c>
      <c r="CT15" s="60" t="s">
        <v>372</v>
      </c>
      <c r="CU15" s="60" t="s">
        <v>372</v>
      </c>
      <c r="CV15" s="60" t="s">
        <v>372</v>
      </c>
      <c r="CW15" s="60" t="s">
        <v>372</v>
      </c>
      <c r="CX15" s="60" t="s">
        <v>373</v>
      </c>
      <c r="CY15" s="60" t="s">
        <v>373</v>
      </c>
      <c r="CZ15" s="60" t="s">
        <v>374</v>
      </c>
      <c r="DA15" s="60" t="s">
        <v>374</v>
      </c>
      <c r="DB15" s="60" t="s">
        <v>374</v>
      </c>
      <c r="DC15" s="60" t="s">
        <v>374</v>
      </c>
      <c r="DD15" s="60" t="s">
        <v>375</v>
      </c>
      <c r="DE15" s="149" t="s">
        <v>376</v>
      </c>
      <c r="DF15" s="149" t="s">
        <v>376</v>
      </c>
      <c r="DG15" s="60" t="s">
        <v>377</v>
      </c>
      <c r="DH15" s="60" t="s">
        <v>377</v>
      </c>
      <c r="DI15" s="144" t="s">
        <v>378</v>
      </c>
      <c r="DJ15" s="144" t="s">
        <v>378</v>
      </c>
      <c r="DK15" s="144" t="s">
        <v>378</v>
      </c>
      <c r="DL15" s="149" t="s">
        <v>808</v>
      </c>
      <c r="DM15" s="149" t="s">
        <v>808</v>
      </c>
      <c r="DN15" s="149" t="s">
        <v>808</v>
      </c>
      <c r="DO15" s="60" t="s">
        <v>379</v>
      </c>
      <c r="DP15" s="60" t="s">
        <v>379</v>
      </c>
      <c r="DQ15" s="60" t="s">
        <v>380</v>
      </c>
      <c r="DR15" s="60" t="s">
        <v>380</v>
      </c>
      <c r="DS15" s="60" t="s">
        <v>380</v>
      </c>
      <c r="DT15" s="60" t="s">
        <v>380</v>
      </c>
      <c r="DU15" s="60" t="s">
        <v>380</v>
      </c>
      <c r="DV15" s="60" t="s">
        <v>380</v>
      </c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3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3"/>
      <c r="GA15" s="194"/>
      <c r="GB15" s="194"/>
      <c r="GC15" s="194"/>
      <c r="GD15" s="194"/>
      <c r="GE15" s="194"/>
    </row>
    <row r="16" spans="1:218" ht="12.75" customHeight="1" x14ac:dyDescent="0.25">
      <c r="A16" s="125" t="s">
        <v>27</v>
      </c>
      <c r="B16" s="129" t="str">
        <f ca="1">CONCATENATE("Mob"," ",VLOOKUP("Unprotected",Zone_Traduction,ref_langue,FALSE))</f>
        <v>Mob Unprotected</v>
      </c>
      <c r="C16" s="60">
        <v>6</v>
      </c>
      <c r="D16" s="60">
        <v>5</v>
      </c>
      <c r="E16" s="60">
        <v>4</v>
      </c>
      <c r="F16" s="60">
        <v>2</v>
      </c>
      <c r="G16" s="60">
        <v>0</v>
      </c>
      <c r="H16" s="138">
        <v>0</v>
      </c>
      <c r="J16" s="129" t="str">
        <f ca="1">CONCATENATE("montes"," ",VLOOKUP("Bow",Zone_Traduction,ref_langue,FALSE))</f>
        <v>montes Bow</v>
      </c>
      <c r="K16" s="141">
        <v>3</v>
      </c>
      <c r="M16" s="195">
        <v>25</v>
      </c>
      <c r="N16" s="196">
        <v>2</v>
      </c>
      <c r="Q16" s="129" t="str">
        <f ca="1">CONCATENATE("infanterie"," ",VLOOKUP("Skilled swordsmen",Zone_Traduction,ref_langue,FALSE))</f>
        <v>infanterie Skilled Swordsmen</v>
      </c>
      <c r="R16" s="130">
        <v>2</v>
      </c>
      <c r="AF16" s="128">
        <v>14</v>
      </c>
      <c r="AG16" s="58">
        <f t="shared" si="3"/>
        <v>0.3571428571428571</v>
      </c>
      <c r="AH16" s="58">
        <f t="shared" si="3"/>
        <v>0.71428571428571419</v>
      </c>
      <c r="AI16" s="58">
        <f t="shared" si="3"/>
        <v>1.0714285714285714</v>
      </c>
      <c r="AJ16" s="58">
        <f t="shared" si="3"/>
        <v>1.4285714285714284</v>
      </c>
      <c r="AK16" s="58">
        <f t="shared" si="3"/>
        <v>1.7857142857142858</v>
      </c>
      <c r="AL16" s="58">
        <f t="shared" si="3"/>
        <v>2.1428571428571428</v>
      </c>
      <c r="AM16" s="58">
        <f t="shared" si="3"/>
        <v>2.5</v>
      </c>
      <c r="AN16" s="58">
        <f t="shared" si="3"/>
        <v>2.8571428571428568</v>
      </c>
      <c r="AO16" s="58">
        <f t="shared" si="3"/>
        <v>3.2142857142857144</v>
      </c>
      <c r="AP16" s="58">
        <f t="shared" si="3"/>
        <v>3.5714285714285716</v>
      </c>
      <c r="AQ16" s="58">
        <f t="shared" si="3"/>
        <v>3.9285714285714284</v>
      </c>
      <c r="AR16" s="58">
        <f t="shared" si="3"/>
        <v>4.2857142857142856</v>
      </c>
      <c r="AS16" s="58">
        <f t="shared" si="3"/>
        <v>4.6428571428571432</v>
      </c>
      <c r="AT16" s="58">
        <v>10</v>
      </c>
      <c r="BI16" s="54">
        <f>IF(List!P26="-",0,IF(OR(List!E26="LH",List!E26="LF"),0.5,IF(List!E26="SCh",0,1)))</f>
        <v>0</v>
      </c>
      <c r="BJ16" s="54" t="str">
        <f>IF(OR(List!$E26="HF",List!$E26="MF",List!$E26="LF"),"infanterie",IF(OR(List!$E26="Kn",List!$E26="Ct",List!$E26="Cv",List!$E26="LH",List!$E26="LCh",List!$E26="HCh",List!$E26="SCh",List!$E26="EL"),"montes",IF(OR(List!$E26="BWG"),"BWG","special")))</f>
        <v>special</v>
      </c>
      <c r="BK16" s="54">
        <f ca="1">VLOOKUP(List!$E26&amp;" "&amp;List!$F26,Table_budget,MATCH(List!$G26,Colonnes_table_budget,FALSE),FALSE)
   +IF(List!$H26=VLOOKUP("Drilled",Zone_Traduction,ref_langue,FALSE),VLOOKUP(List!$E26&amp;" "&amp;List!$F26,Table_budget,MATCH(VLOOKUP("Drilled",Zone_Traduction,ref_langue,FALSE),Colonnes_table_budget,FALSE),FALSE),0)
   +IF(ISERROR(VLOOKUP(BJ16&amp;" "&amp;$G16,Table_armes_tir,2,FALSE)),0,VLOOKUP(BJ16&amp;" "&amp;$G16,Table_armes_tir,2,FALSE))
   +IF(ISERROR(VLOOKUP(BJ16&amp;" "&amp;$I16,Table_armes_melee,2,FALSE)),0,VLOOKUP(BJ16&amp;" "&amp;$I16,Table_armes_melee,2,FALSE))
   +IF(ISERROR(VLOOKUP($J16,Table_special,2,FALSE)),0,VLOOKUP($J16,Table_special,2,FALSE))</f>
        <v>0</v>
      </c>
      <c r="BL16" s="54">
        <f ca="1">List!$M26*List!$L26</f>
        <v>0</v>
      </c>
      <c r="BM16" s="53"/>
      <c r="BN16" s="54">
        <f>IF(OR(List!$E26="CV",List!$E26="LH",List!$E26="LCH"),List!$L26,0)</f>
        <v>0</v>
      </c>
      <c r="BP16" s="197" t="s">
        <v>363</v>
      </c>
      <c r="BQ16" s="198"/>
      <c r="BR16" s="198"/>
      <c r="BS16" s="198"/>
      <c r="BT16" s="198"/>
      <c r="BU16" s="199" t="s">
        <v>444</v>
      </c>
      <c r="BV16" s="199" t="s">
        <v>444</v>
      </c>
      <c r="BW16" s="199" t="s">
        <v>444</v>
      </c>
      <c r="BX16" s="198" t="s">
        <v>445</v>
      </c>
      <c r="BY16" s="198" t="s">
        <v>445</v>
      </c>
      <c r="BZ16" s="198" t="s">
        <v>446</v>
      </c>
      <c r="CA16" s="198" t="s">
        <v>446</v>
      </c>
      <c r="CB16" s="198" t="s">
        <v>447</v>
      </c>
      <c r="CC16" s="198" t="s">
        <v>447</v>
      </c>
      <c r="CD16" s="198" t="s">
        <v>447</v>
      </c>
      <c r="CE16" s="198" t="s">
        <v>447</v>
      </c>
      <c r="CF16" s="198" t="s">
        <v>447</v>
      </c>
      <c r="CG16" s="199" t="s">
        <v>448</v>
      </c>
      <c r="CH16" s="198" t="s">
        <v>449</v>
      </c>
      <c r="CI16" s="198" t="s">
        <v>450</v>
      </c>
      <c r="CJ16" s="198" t="s">
        <v>450</v>
      </c>
      <c r="CK16" s="198" t="s">
        <v>450</v>
      </c>
      <c r="CL16" s="198" t="s">
        <v>450</v>
      </c>
      <c r="CM16" s="198" t="s">
        <v>450</v>
      </c>
      <c r="CN16" s="198" t="s">
        <v>450</v>
      </c>
      <c r="CO16" s="198" t="s">
        <v>451</v>
      </c>
      <c r="CP16" s="198" t="s">
        <v>451</v>
      </c>
      <c r="CQ16" s="198" t="s">
        <v>452</v>
      </c>
      <c r="CR16" s="198" t="s">
        <v>452</v>
      </c>
      <c r="CS16" s="198" t="s">
        <v>452</v>
      </c>
      <c r="CT16" s="198" t="s">
        <v>452</v>
      </c>
      <c r="CU16" s="199" t="s">
        <v>453</v>
      </c>
      <c r="CV16" s="199" t="s">
        <v>453</v>
      </c>
      <c r="CW16" s="199" t="s">
        <v>453</v>
      </c>
      <c r="CX16" s="199" t="s">
        <v>454</v>
      </c>
      <c r="CY16" s="199" t="s">
        <v>454</v>
      </c>
      <c r="CZ16" s="199" t="s">
        <v>454</v>
      </c>
      <c r="DA16" s="199" t="s">
        <v>454</v>
      </c>
      <c r="DB16" s="199" t="s">
        <v>454</v>
      </c>
      <c r="DC16" s="198" t="s">
        <v>455</v>
      </c>
      <c r="DD16" s="198" t="s">
        <v>455</v>
      </c>
      <c r="DE16" s="198" t="s">
        <v>455</v>
      </c>
      <c r="DF16" s="198" t="s">
        <v>455</v>
      </c>
      <c r="DG16" s="198" t="s">
        <v>455</v>
      </c>
      <c r="DH16" s="198" t="s">
        <v>455</v>
      </c>
      <c r="DI16" s="198" t="s">
        <v>455</v>
      </c>
      <c r="DJ16" s="198" t="s">
        <v>456</v>
      </c>
      <c r="DK16" s="198" t="s">
        <v>456</v>
      </c>
      <c r="DL16" s="198" t="s">
        <v>457</v>
      </c>
      <c r="DM16" s="198" t="s">
        <v>457</v>
      </c>
      <c r="DN16" s="198" t="s">
        <v>458</v>
      </c>
      <c r="DO16" s="198" t="s">
        <v>458</v>
      </c>
      <c r="DP16" s="198" t="s">
        <v>459</v>
      </c>
      <c r="DQ16" s="198" t="s">
        <v>459</v>
      </c>
      <c r="DR16" s="198" t="s">
        <v>459</v>
      </c>
      <c r="DS16" s="198" t="s">
        <v>459</v>
      </c>
      <c r="DT16" s="199" t="s">
        <v>460</v>
      </c>
      <c r="DU16" s="199" t="s">
        <v>460</v>
      </c>
      <c r="DV16" s="199" t="s">
        <v>460</v>
      </c>
      <c r="DW16" s="199" t="s">
        <v>460</v>
      </c>
      <c r="DX16" s="198" t="s">
        <v>461</v>
      </c>
      <c r="DY16" s="198" t="s">
        <v>461</v>
      </c>
      <c r="DZ16" s="198" t="s">
        <v>461</v>
      </c>
      <c r="EA16" s="198" t="s">
        <v>462</v>
      </c>
      <c r="EB16" s="198" t="s">
        <v>462</v>
      </c>
      <c r="EC16" s="198" t="s">
        <v>463</v>
      </c>
      <c r="ED16" s="198" t="s">
        <v>463</v>
      </c>
      <c r="EE16" s="198" t="s">
        <v>463</v>
      </c>
      <c r="EF16" s="198" t="s">
        <v>463</v>
      </c>
      <c r="EG16" s="198" t="s">
        <v>464</v>
      </c>
      <c r="EH16" s="198" t="s">
        <v>464</v>
      </c>
      <c r="EI16" s="198" t="s">
        <v>464</v>
      </c>
      <c r="EJ16" s="198" t="s">
        <v>465</v>
      </c>
      <c r="EK16" s="198" t="s">
        <v>465</v>
      </c>
      <c r="EL16" s="198" t="s">
        <v>465</v>
      </c>
      <c r="EM16" s="200"/>
      <c r="EN16" s="200"/>
      <c r="EO16" s="200"/>
      <c r="EP16" s="200"/>
      <c r="EQ16" s="200"/>
      <c r="ER16" s="200"/>
      <c r="ES16" s="200"/>
      <c r="ET16" s="200"/>
      <c r="EU16" s="200"/>
      <c r="EV16" s="201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1"/>
      <c r="GA16" s="202"/>
      <c r="GB16" s="202"/>
      <c r="GC16" s="202"/>
      <c r="GD16" s="202"/>
      <c r="GE16" s="202"/>
    </row>
    <row r="17" spans="1:66" ht="12.75" customHeight="1" x14ac:dyDescent="0.25">
      <c r="A17" s="125" t="s">
        <v>180</v>
      </c>
      <c r="B17" s="129" t="str">
        <f ca="1">CONCATENATE("Kn"," ",VLOOKUP("Heavily armoured",Zone_Traduction,ref_langue,FALSE))</f>
        <v>Kn Heavily Armoured</v>
      </c>
      <c r="C17" s="60">
        <v>27</v>
      </c>
      <c r="D17" s="60">
        <v>23</v>
      </c>
      <c r="E17" s="60">
        <v>15</v>
      </c>
      <c r="F17" s="60"/>
      <c r="G17" s="60">
        <v>3</v>
      </c>
      <c r="H17" s="138">
        <v>0</v>
      </c>
      <c r="J17" s="129" t="str">
        <f ca="1">CONCATENATE("montes"," ",VLOOKUP("Bw*",Zone_Traduction,ref_langue,FALSE))</f>
        <v>montes Bw*</v>
      </c>
      <c r="K17" s="141">
        <v>2</v>
      </c>
      <c r="Q17" s="129" t="str">
        <f ca="1">CONCATENATE("infanterie"," ",VLOOKUP("Swordsmen",Zone_Traduction,ref_langue,FALSE))</f>
        <v>infanterie Swordsmen</v>
      </c>
      <c r="R17" s="130">
        <v>1</v>
      </c>
      <c r="AF17" s="128">
        <v>15</v>
      </c>
      <c r="AG17" s="58">
        <f t="shared" si="3"/>
        <v>0.33333333333333331</v>
      </c>
      <c r="AH17" s="58">
        <f t="shared" si="3"/>
        <v>0.66666666666666663</v>
      </c>
      <c r="AI17" s="58">
        <f t="shared" si="3"/>
        <v>1</v>
      </c>
      <c r="AJ17" s="58">
        <f t="shared" si="3"/>
        <v>1.3333333333333333</v>
      </c>
      <c r="AK17" s="58">
        <f t="shared" si="3"/>
        <v>1.6666666666666665</v>
      </c>
      <c r="AL17" s="58">
        <f t="shared" si="3"/>
        <v>2</v>
      </c>
      <c r="AM17" s="58">
        <f t="shared" si="3"/>
        <v>2.3333333333333335</v>
      </c>
      <c r="AN17" s="58">
        <f t="shared" si="3"/>
        <v>2.6666666666666665</v>
      </c>
      <c r="AO17" s="58">
        <f t="shared" si="3"/>
        <v>3</v>
      </c>
      <c r="AP17" s="58">
        <f t="shared" si="3"/>
        <v>3.333333333333333</v>
      </c>
      <c r="AQ17" s="58">
        <f t="shared" si="3"/>
        <v>3.6666666666666665</v>
      </c>
      <c r="AR17" s="58">
        <f t="shared" si="3"/>
        <v>4</v>
      </c>
      <c r="AS17" s="58">
        <f t="shared" si="3"/>
        <v>4.3333333333333339</v>
      </c>
      <c r="AT17" s="58">
        <f t="shared" si="3"/>
        <v>4.666666666666667</v>
      </c>
      <c r="AU17" s="58">
        <v>10</v>
      </c>
      <c r="BI17" s="54">
        <f>IF(List!P27="-",0,IF(OR(List!E27="LH",List!E27="LF"),0.5,IF(List!E27="SCh",0,1)))</f>
        <v>0</v>
      </c>
      <c r="BJ17" s="54" t="str">
        <f>IF(OR(List!$E27="HF",List!$E27="MF",List!$E27="LF"),"infanterie",IF(OR(List!$E27="Kn",List!$E27="Ct",List!$E27="Cv",List!$E27="LH",List!$E27="LCh",List!$E27="HCh",List!$E27="SCh",List!$E27="EL"),"montes",IF(OR(List!$E27="BWG"),"BWG","special")))</f>
        <v>special</v>
      </c>
      <c r="BK17" s="54">
        <f ca="1">VLOOKUP(List!$E27&amp;" "&amp;List!$F27,Table_budget,MATCH(List!$G27,Colonnes_table_budget,FALSE),FALSE)
   +IF(List!$H27=VLOOKUP("Drilled",Zone_Traduction,ref_langue,FALSE),VLOOKUP(List!$E27&amp;" "&amp;List!$F27,Table_budget,MATCH(VLOOKUP("Drilled",Zone_Traduction,ref_langue,FALSE),Colonnes_table_budget,FALSE),FALSE),0)
   +IF(ISERROR(VLOOKUP(BJ17&amp;" "&amp;$G17,Table_armes_tir,2,FALSE)),0,VLOOKUP(BJ17&amp;" "&amp;$G17,Table_armes_tir,2,FALSE))
   +IF(ISERROR(VLOOKUP(BJ17&amp;" "&amp;$I17,Table_armes_melee,2,FALSE)),0,VLOOKUP(BJ17&amp;" "&amp;$I17,Table_armes_melee,2,FALSE))
   +IF(ISERROR(VLOOKUP($J17,Table_special,2,FALSE)),0,VLOOKUP($J17,Table_special,2,FALSE))</f>
        <v>0</v>
      </c>
      <c r="BL17" s="54">
        <f ca="1">List!$M27*List!$L27</f>
        <v>0</v>
      </c>
      <c r="BM17" s="53"/>
      <c r="BN17" s="54">
        <f>IF(OR(List!$E27="CV",List!$E27="LH",List!$E27="LCH"),List!$L27,0)</f>
        <v>0</v>
      </c>
    </row>
    <row r="18" spans="1:66" ht="12.75" customHeight="1" x14ac:dyDescent="0.25">
      <c r="A18" s="125" t="s">
        <v>180</v>
      </c>
      <c r="B18" s="129" t="str">
        <f ca="1">CONCATENATE("Kn"," ",VLOOKUP("Armoured",Zone_Traduction,ref_langue,FALSE))</f>
        <v>Kn Armoured</v>
      </c>
      <c r="C18" s="60">
        <v>23</v>
      </c>
      <c r="D18" s="60">
        <v>20</v>
      </c>
      <c r="E18" s="60">
        <v>13</v>
      </c>
      <c r="F18" s="60"/>
      <c r="G18" s="60">
        <v>2</v>
      </c>
      <c r="H18" s="138">
        <v>0</v>
      </c>
      <c r="J18" s="129" t="str">
        <f ca="1">CONCATENATE("montes"," ",VLOOKUP("Crossbow",Zone_Traduction,ref_langue,FALSE))</f>
        <v>montes Crossbow</v>
      </c>
      <c r="K18" s="141">
        <v>2</v>
      </c>
      <c r="M18" s="126" t="s">
        <v>77</v>
      </c>
      <c r="N18" s="142"/>
      <c r="Q18" s="129" t="str">
        <f ca="1">CONCATENATE("montes"," ",VLOOKUP("Lancer",Zone_Traduction,ref_langue,FALSE))</f>
        <v>montes Lancer</v>
      </c>
      <c r="R18" s="130">
        <v>1</v>
      </c>
      <c r="AF18" s="128">
        <v>16</v>
      </c>
      <c r="AG18" s="58">
        <f t="shared" si="3"/>
        <v>0.3125</v>
      </c>
      <c r="AH18" s="58">
        <f t="shared" si="3"/>
        <v>0.625</v>
      </c>
      <c r="AI18" s="58">
        <f t="shared" si="3"/>
        <v>0.9375</v>
      </c>
      <c r="AJ18" s="58">
        <f t="shared" si="3"/>
        <v>1.25</v>
      </c>
      <c r="AK18" s="58">
        <f t="shared" si="3"/>
        <v>1.5625</v>
      </c>
      <c r="AL18" s="58">
        <f t="shared" si="3"/>
        <v>1.875</v>
      </c>
      <c r="AM18" s="58">
        <f t="shared" si="3"/>
        <v>2.1875</v>
      </c>
      <c r="AN18" s="58">
        <f t="shared" si="3"/>
        <v>2.5</v>
      </c>
      <c r="AO18" s="58">
        <f t="shared" si="3"/>
        <v>2.8125</v>
      </c>
      <c r="AP18" s="58">
        <f t="shared" si="3"/>
        <v>3.125</v>
      </c>
      <c r="AQ18" s="58">
        <f t="shared" si="3"/>
        <v>3.4375</v>
      </c>
      <c r="AR18" s="58">
        <f t="shared" si="3"/>
        <v>3.75</v>
      </c>
      <c r="AS18" s="58">
        <f t="shared" si="3"/>
        <v>4.0625</v>
      </c>
      <c r="AT18" s="58">
        <f t="shared" si="3"/>
        <v>4.375</v>
      </c>
      <c r="AU18" s="58">
        <f t="shared" si="3"/>
        <v>4.6875</v>
      </c>
      <c r="AV18" s="58">
        <v>10</v>
      </c>
      <c r="BI18" s="54">
        <f>IF(List!P28="-",0,IF(OR(List!E28="LH",List!E28="LF"),0.5,IF(List!E28="SCh",0,1)))</f>
        <v>0</v>
      </c>
      <c r="BJ18" s="54" t="str">
        <f>IF(OR(List!$E28="HF",List!$E28="MF",List!$E28="LF"),"infanterie",IF(OR(List!$E28="Kn",List!$E28="Ct",List!$E28="Cv",List!$E28="LH",List!$E28="LCh",List!$E28="HCh",List!$E28="SCh",List!$E28="EL"),"montes",IF(OR(List!$E28="BWG"),"BWG","special")))</f>
        <v>special</v>
      </c>
      <c r="BK18" s="54">
        <f ca="1">VLOOKUP(List!$E28&amp;" "&amp;List!$F28,Table_budget,MATCH(List!$G28,Colonnes_table_budget,FALSE),FALSE)
   +IF(List!$H28=VLOOKUP("Drilled",Zone_Traduction,ref_langue,FALSE),VLOOKUP(List!$E28&amp;" "&amp;List!$F28,Table_budget,MATCH(VLOOKUP("Drilled",Zone_Traduction,ref_langue,FALSE),Colonnes_table_budget,FALSE),FALSE),0)
   +IF(ISERROR(VLOOKUP(BJ18&amp;" "&amp;$G18,Table_armes_tir,2,FALSE)),0,VLOOKUP(BJ18&amp;" "&amp;$G18,Table_armes_tir,2,FALSE))
   +IF(ISERROR(VLOOKUP(BJ18&amp;" "&amp;$I18,Table_armes_melee,2,FALSE)),0,VLOOKUP(BJ18&amp;" "&amp;$I18,Table_armes_melee,2,FALSE))
   +IF(ISERROR(VLOOKUP($J18,Table_special,2,FALSE)),0,VLOOKUP($J18,Table_special,2,FALSE))</f>
        <v>0</v>
      </c>
      <c r="BL18" s="54">
        <f ca="1">List!$M28*List!$L28</f>
        <v>0</v>
      </c>
      <c r="BM18" s="53"/>
      <c r="BN18" s="54">
        <f>IF(OR(List!$E28="CV",List!$E28="LH",List!$E28="LCH"),List!$L28,0)</f>
        <v>0</v>
      </c>
    </row>
    <row r="19" spans="1:66" ht="12.75" customHeight="1" x14ac:dyDescent="0.25">
      <c r="A19" s="125" t="s">
        <v>188</v>
      </c>
      <c r="B19" s="129" t="s">
        <v>187</v>
      </c>
      <c r="C19" s="60">
        <v>19</v>
      </c>
      <c r="D19" s="60">
        <v>16</v>
      </c>
      <c r="E19" s="60">
        <v>11</v>
      </c>
      <c r="F19" s="60">
        <v>8</v>
      </c>
      <c r="G19" s="60">
        <v>2</v>
      </c>
      <c r="H19" s="138">
        <v>0</v>
      </c>
      <c r="J19" s="129" t="str">
        <f ca="1">CONCATENATE("montes"," ",VLOOKUP("firearm",Zone_Traduction,ref_langue,FALSE))</f>
        <v>montes Firearm</v>
      </c>
      <c r="K19" s="141">
        <v>1</v>
      </c>
      <c r="M19" s="205">
        <v>0</v>
      </c>
      <c r="N19" s="179" t="s">
        <v>174</v>
      </c>
      <c r="Q19" s="129" t="str">
        <f ca="1">CONCATENATE("montes"," ",VLOOKUP("Lancer Swordsmen",Zone_Traduction,ref_langue,FALSE))</f>
        <v>montes Lancer Swordsmen</v>
      </c>
      <c r="R19" s="130">
        <v>3</v>
      </c>
      <c r="T19" s="58" t="s">
        <v>891</v>
      </c>
      <c r="AF19" s="128">
        <v>17</v>
      </c>
      <c r="AG19" s="58">
        <f t="shared" si="3"/>
        <v>0.29411764705882354</v>
      </c>
      <c r="AH19" s="58">
        <f t="shared" si="3"/>
        <v>0.58823529411764708</v>
      </c>
      <c r="AI19" s="58">
        <f t="shared" si="3"/>
        <v>0.88235294117647067</v>
      </c>
      <c r="AJ19" s="58">
        <f t="shared" si="3"/>
        <v>1.1764705882352942</v>
      </c>
      <c r="AK19" s="58">
        <f t="shared" si="3"/>
        <v>1.4705882352941178</v>
      </c>
      <c r="AL19" s="58">
        <f t="shared" si="3"/>
        <v>1.7647058823529413</v>
      </c>
      <c r="AM19" s="58">
        <f t="shared" si="3"/>
        <v>2.0588235294117645</v>
      </c>
      <c r="AN19" s="58">
        <f t="shared" si="3"/>
        <v>2.3529411764705883</v>
      </c>
      <c r="AO19" s="58">
        <f t="shared" si="3"/>
        <v>2.6470588235294117</v>
      </c>
      <c r="AP19" s="58">
        <f t="shared" si="3"/>
        <v>2.9411764705882355</v>
      </c>
      <c r="AQ19" s="58">
        <f t="shared" si="3"/>
        <v>3.2352941176470589</v>
      </c>
      <c r="AR19" s="58">
        <f t="shared" si="3"/>
        <v>3.5294117647058827</v>
      </c>
      <c r="AS19" s="58">
        <f t="shared" si="3"/>
        <v>3.8235294117647056</v>
      </c>
      <c r="AT19" s="58">
        <f t="shared" si="3"/>
        <v>4.117647058823529</v>
      </c>
      <c r="AU19" s="58">
        <f t="shared" si="3"/>
        <v>4.4117647058823533</v>
      </c>
      <c r="AV19" s="58">
        <f t="shared" si="3"/>
        <v>4.7058823529411766</v>
      </c>
      <c r="AW19" s="58">
        <v>10</v>
      </c>
      <c r="BI19" s="54">
        <f>IF(List!P29="-",0,IF(OR(List!E29="LH",List!E29="LF"),0.5,IF(List!E29="SCh",0,1)))</f>
        <v>0</v>
      </c>
      <c r="BJ19" s="54" t="str">
        <f>IF(OR(List!$E29="HF",List!$E29="MF",List!$E29="LF"),"infanterie",IF(OR(List!$E29="Kn",List!$E29="Ct",List!$E29="Cv",List!$E29="LH",List!$E29="LCh",List!$E29="HCh",List!$E29="SCh",List!$E29="EL"),"montes",IF(OR(List!$E29="BWG"),"BWG","special")))</f>
        <v>special</v>
      </c>
      <c r="BK19" s="54">
        <f ca="1">VLOOKUP(List!$E29&amp;" "&amp;List!$F29,Table_budget,MATCH(List!$G29,Colonnes_table_budget,FALSE),FALSE)
   +IF(List!$H29=VLOOKUP("Drilled",Zone_Traduction,ref_langue,FALSE),VLOOKUP(List!$E29&amp;" "&amp;List!$F29,Table_budget,MATCH(VLOOKUP("Drilled",Zone_Traduction,ref_langue,FALSE),Colonnes_table_budget,FALSE),FALSE),0)
   +IF(ISERROR(VLOOKUP(BJ19&amp;" "&amp;$G19,Table_armes_tir,2,FALSE)),0,VLOOKUP(BJ19&amp;" "&amp;$G19,Table_armes_tir,2,FALSE))
   +IF(ISERROR(VLOOKUP(BJ19&amp;" "&amp;$I19,Table_armes_melee,2,FALSE)),0,VLOOKUP(BJ19&amp;" "&amp;$I19,Table_armes_melee,2,FALSE))
   +IF(ISERROR(VLOOKUP($J20,Table_special,2,FALSE)),0,VLOOKUP($J20,Table_special,2,FALSE))</f>
        <v>0</v>
      </c>
      <c r="BL19" s="54">
        <f ca="1">List!$M29*List!$L29</f>
        <v>0</v>
      </c>
      <c r="BM19" s="53"/>
      <c r="BN19" s="54">
        <f>IF(OR(List!$E29="CV",List!$E29="LH",List!$E29="LCH"),List!$L29,0)</f>
        <v>0</v>
      </c>
    </row>
    <row r="20" spans="1:66" ht="12.75" customHeight="1" x14ac:dyDescent="0.25">
      <c r="A20" s="125" t="s">
        <v>188</v>
      </c>
      <c r="B20" s="129" t="str">
        <f ca="1">CONCATENATE("Ct"," ",VLOOKUP("Heavily armoured",Zone_Traduction,ref_langue,FALSE))</f>
        <v>Ct Heavily Armoured</v>
      </c>
      <c r="C20" s="60">
        <v>19</v>
      </c>
      <c r="D20" s="60">
        <v>16</v>
      </c>
      <c r="E20" s="60">
        <v>11</v>
      </c>
      <c r="F20" s="60">
        <v>8</v>
      </c>
      <c r="G20" s="60">
        <v>2</v>
      </c>
      <c r="H20" s="138">
        <v>0</v>
      </c>
      <c r="J20" s="203" t="str">
        <f ca="1">CONCATENATE("montes"," ",VLOOKUP("Javelins",Zone_Traduction,ref_langue,FALSE))</f>
        <v>montes Javelins</v>
      </c>
      <c r="K20" s="206">
        <v>1</v>
      </c>
      <c r="M20" s="205"/>
      <c r="N20" s="179"/>
      <c r="Q20" s="129" t="str">
        <f ca="1">CONCATENATE("montes"," ",VLOOKUP("Light spear",Zone_Traduction,ref_langue,FALSE))</f>
        <v>montes Light Spear</v>
      </c>
      <c r="R20" s="130">
        <v>1</v>
      </c>
      <c r="T20" s="58" t="str">
        <f ca="1">T28</f>
        <v>Bw*</v>
      </c>
      <c r="AF20" s="128">
        <v>18</v>
      </c>
      <c r="AG20" s="58">
        <f t="shared" si="3"/>
        <v>0.27777777777777779</v>
      </c>
      <c r="AH20" s="58">
        <f t="shared" si="3"/>
        <v>0.55555555555555558</v>
      </c>
      <c r="AI20" s="58">
        <f t="shared" si="3"/>
        <v>0.83333333333333326</v>
      </c>
      <c r="AJ20" s="58">
        <f t="shared" si="3"/>
        <v>1.1111111111111112</v>
      </c>
      <c r="AK20" s="58">
        <f t="shared" si="3"/>
        <v>1.3888888888888888</v>
      </c>
      <c r="AL20" s="58">
        <f t="shared" si="3"/>
        <v>1.6666666666666665</v>
      </c>
      <c r="AM20" s="58">
        <f t="shared" si="3"/>
        <v>1.9444444444444444</v>
      </c>
      <c r="AN20" s="58">
        <f t="shared" si="3"/>
        <v>2.2222222222222223</v>
      </c>
      <c r="AO20" s="58">
        <f t="shared" si="3"/>
        <v>2.5</v>
      </c>
      <c r="AP20" s="58">
        <f t="shared" si="3"/>
        <v>2.7777777777777777</v>
      </c>
      <c r="AQ20" s="58">
        <f t="shared" si="3"/>
        <v>3.0555555555555558</v>
      </c>
      <c r="AR20" s="58">
        <f t="shared" si="3"/>
        <v>3.333333333333333</v>
      </c>
      <c r="AS20" s="58">
        <f t="shared" si="3"/>
        <v>3.6111111111111112</v>
      </c>
      <c r="AT20" s="58">
        <f t="shared" si="3"/>
        <v>3.8888888888888888</v>
      </c>
      <c r="AU20" s="58">
        <f t="shared" si="3"/>
        <v>4.166666666666667</v>
      </c>
      <c r="AV20" s="58">
        <f t="shared" si="3"/>
        <v>4.4444444444444446</v>
      </c>
      <c r="AW20" s="58">
        <f>(AW$2/$AF20)*5</f>
        <v>4.7222222222222223</v>
      </c>
      <c r="AX20" s="58">
        <v>10</v>
      </c>
      <c r="BI20" s="54">
        <f>IF(List!P30="-",0,IF(OR(List!E30="LH",List!E30="LF"),0.5,IF(List!E30="SCh",0,1)))</f>
        <v>0</v>
      </c>
      <c r="BJ20" s="54" t="str">
        <f>IF(OR(List!$E30="HF",List!$E30="MF",List!$E30="LF"),"infanterie",IF(OR(List!$E30="Kn",List!$E30="Ct",List!$E30="Cv",List!$E30="LH",List!$E30="LCh",List!$E30="HCh",List!$E30="SCh",List!$E30="EL"),"montes",IF(OR(List!$E30="BWG"),"BWG","special")))</f>
        <v>special</v>
      </c>
      <c r="BK20" s="54">
        <f ca="1">VLOOKUP(List!$E30&amp;" "&amp;List!$F30,Table_budget,MATCH(List!$G30,Colonnes_table_budget,FALSE),FALSE)
   +IF(List!$H30=VLOOKUP("Drilled",Zone_Traduction,ref_langue,FALSE),VLOOKUP(List!$E30&amp;" "&amp;List!$F30,Table_budget,MATCH(VLOOKUP("Drilled",Zone_Traduction,ref_langue,FALSE),Colonnes_table_budget,FALSE),FALSE),0)
   +IF(ISERROR(VLOOKUP(BJ20&amp;" "&amp;$G20,Table_armes_tir,2,FALSE)),0,VLOOKUP(BJ20&amp;" "&amp;$G20,Table_armes_tir,2,FALSE))
   +IF(ISERROR(VLOOKUP(BJ20&amp;" "&amp;$I20,Table_armes_melee,2,FALSE)),0,VLOOKUP(BJ20&amp;" "&amp;$I20,Table_armes_melee,2,FALSE))
   +IF(ISERROR(VLOOKUP($J21,Table_special,2,FALSE)),0,VLOOKUP($J21,Table_special,2,FALSE))</f>
        <v>0</v>
      </c>
      <c r="BL20" s="54">
        <f ca="1">List!$M30*List!$L30</f>
        <v>0</v>
      </c>
      <c r="BM20" s="53"/>
      <c r="BN20" s="54">
        <f>IF(OR(List!$E30="CV",List!$E30="LH",List!$E30="LCH"),List!$L30,0)</f>
        <v>0</v>
      </c>
    </row>
    <row r="21" spans="1:66" ht="12.75" customHeight="1" x14ac:dyDescent="0.25">
      <c r="A21" s="125" t="s">
        <v>189</v>
      </c>
      <c r="B21" s="129" t="str">
        <f ca="1">CONCATENATE("Cv"," ",VLOOKUP("Armoured",Zone_Traduction,ref_langue,FALSE))</f>
        <v>Cv Armoured</v>
      </c>
      <c r="C21" s="60">
        <v>17</v>
      </c>
      <c r="D21" s="60">
        <v>14</v>
      </c>
      <c r="E21" s="60">
        <v>9</v>
      </c>
      <c r="F21" s="60">
        <v>6</v>
      </c>
      <c r="G21" s="60">
        <v>1</v>
      </c>
      <c r="H21" s="138">
        <v>0</v>
      </c>
      <c r="M21" s="205">
        <v>1</v>
      </c>
      <c r="N21" s="179" t="s">
        <v>175</v>
      </c>
      <c r="Q21" s="129" t="str">
        <f ca="1">CONCATENATE("montes"," ",VLOOKUP("Light spear Swordsmen",Zone_Traduction,ref_langue,FALSE))</f>
        <v>montes Light spear Swordsmen</v>
      </c>
      <c r="R21" s="162">
        <v>3</v>
      </c>
      <c r="T21" s="58" t="str">
        <f ca="1">T27</f>
        <v>Bow</v>
      </c>
      <c r="AF21" s="128">
        <v>19</v>
      </c>
      <c r="AG21" s="58">
        <f t="shared" si="3"/>
        <v>0.26315789473684209</v>
      </c>
      <c r="AH21" s="58">
        <f t="shared" si="3"/>
        <v>0.52631578947368418</v>
      </c>
      <c r="AI21" s="58">
        <f t="shared" si="3"/>
        <v>0.78947368421052633</v>
      </c>
      <c r="AJ21" s="58">
        <f t="shared" si="3"/>
        <v>1.0526315789473684</v>
      </c>
      <c r="AK21" s="58">
        <f t="shared" si="3"/>
        <v>1.3157894736842104</v>
      </c>
      <c r="AL21" s="58">
        <f t="shared" si="3"/>
        <v>1.5789473684210527</v>
      </c>
      <c r="AM21" s="58">
        <f t="shared" si="3"/>
        <v>1.8421052631578947</v>
      </c>
      <c r="AN21" s="58">
        <f t="shared" si="3"/>
        <v>2.1052631578947367</v>
      </c>
      <c r="AO21" s="58">
        <f t="shared" si="3"/>
        <v>2.3684210526315788</v>
      </c>
      <c r="AP21" s="58">
        <f t="shared" si="3"/>
        <v>2.6315789473684208</v>
      </c>
      <c r="AQ21" s="58">
        <f t="shared" si="3"/>
        <v>2.8947368421052633</v>
      </c>
      <c r="AR21" s="58">
        <f t="shared" si="3"/>
        <v>3.1578947368421053</v>
      </c>
      <c r="AS21" s="58">
        <f t="shared" si="3"/>
        <v>3.4210526315789473</v>
      </c>
      <c r="AT21" s="58">
        <f t="shared" si="3"/>
        <v>3.6842105263157894</v>
      </c>
      <c r="AU21" s="58">
        <f t="shared" si="3"/>
        <v>3.9473684210526319</v>
      </c>
      <c r="AV21" s="58">
        <f t="shared" si="3"/>
        <v>4.2105263157894735</v>
      </c>
      <c r="AW21" s="58">
        <f>(AW$2/$AF21)*5</f>
        <v>4.4736842105263159</v>
      </c>
      <c r="AX21" s="58">
        <f>(AX$2/$AF21)*5</f>
        <v>4.7368421052631575</v>
      </c>
      <c r="AY21" s="58">
        <v>10</v>
      </c>
      <c r="BI21" s="54">
        <f>IF(List!P31="-",0,IF(OR(List!E31="LH",List!E31="LF"),0.5,IF(List!E31="SCh",0,1)))</f>
        <v>0</v>
      </c>
      <c r="BJ21" s="54" t="str">
        <f>IF(OR(List!$E31="HF",List!$E31="MF",List!$E31="LF"),"infanterie",IF(OR(List!$E31="Kn",List!$E31="Ct",List!$E31="Cv",List!$E31="LH",List!$E31="LCh",List!$E31="HCh",List!$E31="SCh",List!$E31="EL"),"montes",IF(OR(List!$E31="BWG"),"BWG","special")))</f>
        <v>special</v>
      </c>
      <c r="BK21" s="54">
        <f ca="1">VLOOKUP(List!$E31&amp;" "&amp;List!$F31,Table_budget,MATCH(List!$G31,Colonnes_table_budget,FALSE),FALSE)
   +IF(List!$H31=VLOOKUP("Drilled",Zone_Traduction,ref_langue,FALSE),VLOOKUP(List!$E31&amp;" "&amp;List!$F31,Table_budget,MATCH(VLOOKUP("Drilled",Zone_Traduction,ref_langue,FALSE),Colonnes_table_budget,FALSE),FALSE),0)
   +IF(ISERROR(VLOOKUP(BJ21&amp;" "&amp;$G21,Table_armes_tir,2,FALSE)),0,VLOOKUP(BJ21&amp;" "&amp;$G21,Table_armes_tir,2,FALSE))
   +IF(ISERROR(VLOOKUP(BJ21&amp;" "&amp;$I21,Table_armes_melee,2,FALSE)),0,VLOOKUP(BJ21&amp;" "&amp;$I21,Table_armes_melee,2,FALSE))
   +IF(ISERROR(VLOOKUP($J22,Table_special,2,FALSE)),0,VLOOKUP($J22,Table_special,2,FALSE))</f>
        <v>0</v>
      </c>
      <c r="BL21" s="54">
        <f ca="1">List!$M31*List!$L31</f>
        <v>0</v>
      </c>
      <c r="BM21" s="53"/>
      <c r="BN21" s="54">
        <f>IF(OR(List!$E31="CV",List!$E31="LH",List!$E31="LCH"),List!$L31,0)</f>
        <v>0</v>
      </c>
    </row>
    <row r="22" spans="1:66" ht="12.75" customHeight="1" x14ac:dyDescent="0.25">
      <c r="A22" s="125" t="s">
        <v>189</v>
      </c>
      <c r="B22" s="129" t="str">
        <f ca="1">CONCATENATE("Cv"," ",VLOOKUP("Protected",Zone_Traduction,ref_langue,FALSE))</f>
        <v>Cv Protected</v>
      </c>
      <c r="C22" s="60">
        <v>12</v>
      </c>
      <c r="D22" s="60">
        <v>10</v>
      </c>
      <c r="E22" s="60">
        <v>6</v>
      </c>
      <c r="F22" s="60">
        <v>4</v>
      </c>
      <c r="G22" s="60">
        <v>1</v>
      </c>
      <c r="H22" s="138">
        <v>0</v>
      </c>
      <c r="J22" s="139" t="s">
        <v>33</v>
      </c>
      <c r="K22" s="207"/>
      <c r="M22" s="205">
        <v>2</v>
      </c>
      <c r="N22" s="179" t="s">
        <v>176</v>
      </c>
      <c r="Q22" s="203" t="str">
        <f ca="1">CONCATENATE("montes"," ",VLOOKUP("Swordsmen",Zone_Traduction,ref_langue,FALSE))</f>
        <v>montes Swordsmen</v>
      </c>
      <c r="R22" s="204">
        <v>2</v>
      </c>
      <c r="T22" s="58" t="s">
        <v>30</v>
      </c>
      <c r="AF22" s="128">
        <v>20</v>
      </c>
      <c r="AG22" s="58">
        <f t="shared" si="3"/>
        <v>0.25</v>
      </c>
      <c r="AH22" s="58">
        <f t="shared" si="3"/>
        <v>0.5</v>
      </c>
      <c r="AI22" s="58">
        <f t="shared" si="3"/>
        <v>0.75</v>
      </c>
      <c r="AJ22" s="58">
        <f t="shared" si="3"/>
        <v>1</v>
      </c>
      <c r="AK22" s="58">
        <f t="shared" si="3"/>
        <v>1.25</v>
      </c>
      <c r="AL22" s="58">
        <f t="shared" si="3"/>
        <v>1.5</v>
      </c>
      <c r="AM22" s="58">
        <f t="shared" si="3"/>
        <v>1.75</v>
      </c>
      <c r="AN22" s="58">
        <f t="shared" si="3"/>
        <v>2</v>
      </c>
      <c r="AO22" s="58">
        <f t="shared" si="3"/>
        <v>2.25</v>
      </c>
      <c r="AP22" s="58">
        <f t="shared" si="3"/>
        <v>2.5</v>
      </c>
      <c r="AQ22" s="58">
        <f t="shared" si="3"/>
        <v>2.75</v>
      </c>
      <c r="AR22" s="58">
        <f t="shared" si="3"/>
        <v>3</v>
      </c>
      <c r="AS22" s="58">
        <f t="shared" si="3"/>
        <v>3.25</v>
      </c>
      <c r="AT22" s="58">
        <f t="shared" si="3"/>
        <v>3.5</v>
      </c>
      <c r="AU22" s="58">
        <f t="shared" si="3"/>
        <v>3.75</v>
      </c>
      <c r="AV22" s="58">
        <f t="shared" si="3"/>
        <v>4</v>
      </c>
      <c r="AW22" s="58">
        <f>(AW$2/$AF22)*5</f>
        <v>4.25</v>
      </c>
      <c r="AX22" s="58">
        <f>(AX$2/$AF22)*5</f>
        <v>4.5</v>
      </c>
      <c r="AY22" s="58">
        <f>(AY$2/$AF22)*5</f>
        <v>4.75</v>
      </c>
      <c r="AZ22" s="58">
        <v>10</v>
      </c>
      <c r="BI22" s="54">
        <f>IF(List!P32="-",0,IF(OR(List!E32="LH",List!E32="LF"),0.5,IF(List!E32="SCh",0,1)))</f>
        <v>0</v>
      </c>
      <c r="BJ22" s="54" t="str">
        <f>IF(OR(List!$E32="HF",List!$E32="MF",List!$E32="LF"),"infanterie",IF(OR(List!$E32="Kn",List!$E32="Ct",List!$E32="Cv",List!$E32="LH",List!$E32="LCh",List!$E32="HCh",List!$E32="SCh",List!$E32="EL"),"montes",IF(OR(List!$E32="BWG"),"BWG","special")))</f>
        <v>special</v>
      </c>
      <c r="BK22" s="54">
        <f ca="1">VLOOKUP(List!$E32&amp;" "&amp;List!$F32,Table_budget,MATCH(List!$G32,Colonnes_table_budget,FALSE),FALSE)
   +IF(List!$H32=VLOOKUP("Drilled",Zone_Traduction,ref_langue,FALSE),VLOOKUP(List!$E32&amp;" "&amp;List!$F32,Table_budget,MATCH(VLOOKUP("Drilled",Zone_Traduction,ref_langue,FALSE),Colonnes_table_budget,FALSE),FALSE),0)
   +IF(ISERROR(VLOOKUP(BJ22&amp;" "&amp;$G22,Table_armes_tir,2,FALSE)),0,VLOOKUP(BJ22&amp;" "&amp;$G22,Table_armes_tir,2,FALSE))
   +IF(ISERROR(VLOOKUP(BJ22&amp;" "&amp;$I22,Table_armes_melee,2,FALSE)),0,VLOOKUP(BJ22&amp;" "&amp;$I22,Table_armes_melee,2,FALSE))
   +IF(ISERROR(VLOOKUP($J23,Table_special,2,FALSE)),0,VLOOKUP($J23,Table_special,2,FALSE))</f>
        <v>0</v>
      </c>
      <c r="BL22" s="54">
        <f ca="1">List!$M32*List!$L32</f>
        <v>0</v>
      </c>
      <c r="BM22" s="53"/>
      <c r="BN22" s="54">
        <f>IF(OR(List!$E32="CV",List!$E32="LH",List!$E32="LCH"),List!$L32,0)</f>
        <v>0</v>
      </c>
    </row>
    <row r="23" spans="1:66" ht="12.75" customHeight="1" x14ac:dyDescent="0.25">
      <c r="A23" s="125" t="s">
        <v>189</v>
      </c>
      <c r="B23" s="129" t="str">
        <f ca="1">CONCATENATE("Cv"," ",VLOOKUP("Unprotected",Zone_Traduction,ref_langue,FALSE))</f>
        <v>Cv Unprotected</v>
      </c>
      <c r="C23" s="60">
        <v>10</v>
      </c>
      <c r="D23" s="60">
        <v>8</v>
      </c>
      <c r="E23" s="60">
        <v>5</v>
      </c>
      <c r="F23" s="60">
        <v>3</v>
      </c>
      <c r="G23" s="60">
        <v>1</v>
      </c>
      <c r="H23" s="138">
        <v>0</v>
      </c>
      <c r="J23" s="129" t="str">
        <f ca="1">CONCATENATE("montes"," ",VLOOKUP("Light spear",Zone_Traduction,ref_langue,FALSE))</f>
        <v>montes Light Spear</v>
      </c>
      <c r="K23" s="208">
        <v>1</v>
      </c>
      <c r="M23" s="205">
        <v>3</v>
      </c>
      <c r="N23" s="179" t="s">
        <v>177</v>
      </c>
      <c r="Q23" s="169"/>
      <c r="AF23" s="128">
        <v>21</v>
      </c>
      <c r="AG23" s="58">
        <f t="shared" si="3"/>
        <v>0.23809523809523808</v>
      </c>
      <c r="AH23" s="58">
        <f t="shared" si="3"/>
        <v>0.47619047619047616</v>
      </c>
      <c r="AI23" s="58">
        <f t="shared" si="3"/>
        <v>0.71428571428571419</v>
      </c>
      <c r="AJ23" s="58">
        <f t="shared" si="3"/>
        <v>0.95238095238095233</v>
      </c>
      <c r="AK23" s="58">
        <f t="shared" si="3"/>
        <v>1.1904761904761905</v>
      </c>
      <c r="AL23" s="58">
        <f t="shared" si="3"/>
        <v>1.4285714285714284</v>
      </c>
      <c r="AM23" s="58">
        <f t="shared" si="3"/>
        <v>1.6666666666666665</v>
      </c>
      <c r="AN23" s="58">
        <f t="shared" si="3"/>
        <v>1.9047619047619047</v>
      </c>
      <c r="AO23" s="58">
        <f t="shared" si="3"/>
        <v>2.1428571428571428</v>
      </c>
      <c r="AP23" s="58">
        <f t="shared" si="3"/>
        <v>2.3809523809523809</v>
      </c>
      <c r="AQ23" s="58">
        <f t="shared" si="3"/>
        <v>2.6190476190476191</v>
      </c>
      <c r="AR23" s="58">
        <f t="shared" si="3"/>
        <v>2.8571428571428568</v>
      </c>
      <c r="AS23" s="58">
        <f t="shared" si="3"/>
        <v>3.0952380952380953</v>
      </c>
      <c r="AT23" s="58">
        <f t="shared" si="3"/>
        <v>3.333333333333333</v>
      </c>
      <c r="AU23" s="58">
        <f t="shared" si="3"/>
        <v>3.5714285714285716</v>
      </c>
      <c r="AV23" s="58">
        <f t="shared" si="3"/>
        <v>3.8095238095238093</v>
      </c>
      <c r="AW23" s="58">
        <f>(AW$2/$AF23)*5</f>
        <v>4.0476190476190474</v>
      </c>
      <c r="AX23" s="58">
        <f>(AX$2/$AF23)*5</f>
        <v>4.2857142857142856</v>
      </c>
      <c r="AY23" s="58">
        <f>(AY$2/$AF23)*5</f>
        <v>4.5238095238095237</v>
      </c>
      <c r="AZ23" s="58">
        <f>(AZ$2/$AF23)*5</f>
        <v>4.7619047619047619</v>
      </c>
      <c r="BA23" s="58">
        <v>10</v>
      </c>
      <c r="BI23" s="54">
        <f>IF(List!P33="-",0,IF(OR(List!E33="LH",List!E33="LF"),0.5,IF(List!E33="SCh",0,1)))</f>
        <v>0</v>
      </c>
      <c r="BJ23" s="54" t="str">
        <f>IF(OR(List!$E33="HF",List!$E33="MF",List!$E33="LF"),"infanterie",IF(OR(List!$E33="Kn",List!$E33="Ct",List!$E33="Cv",List!$E33="LH",List!$E33="LCh",List!$E33="HCh",List!$E33="SCh",List!$E33="EL"),"montes",IF(OR(List!$E33="BWG"),"BWG","special")))</f>
        <v>special</v>
      </c>
      <c r="BK23" s="54">
        <f ca="1">VLOOKUP(List!$E33&amp;" "&amp;List!$F33,Table_budget,MATCH(List!$G33,Colonnes_table_budget,FALSE),FALSE)
   +IF(List!$H33=VLOOKUP("Drilled",Zone_Traduction,ref_langue,FALSE),VLOOKUP(List!$E33&amp;" "&amp;List!$F33,Table_budget,MATCH(VLOOKUP("Drilled",Zone_Traduction,ref_langue,FALSE),Colonnes_table_budget,FALSE),FALSE),0)
   +IF(ISERROR(VLOOKUP(BJ23&amp;" "&amp;$G23,Table_armes_tir,2,FALSE)),0,VLOOKUP(BJ23&amp;" "&amp;$G23,Table_armes_tir,2,FALSE))
   +IF(ISERROR(VLOOKUP(BJ23&amp;" "&amp;$I23,Table_armes_melee,2,FALSE)),0,VLOOKUP(BJ23&amp;" "&amp;$I23,Table_armes_melee,2,FALSE))
   +IF(ISERROR(VLOOKUP($J24,Table_special,2,FALSE)),0,VLOOKUP($J24,Table_special,2,FALSE))</f>
        <v>0</v>
      </c>
      <c r="BL23" s="54">
        <f ca="1">List!$M33*List!$L33</f>
        <v>0</v>
      </c>
      <c r="BM23" s="53"/>
      <c r="BN23" s="54">
        <f>IF(OR(List!$E33="CV",List!$E33="LH",List!$E33="LCH"),List!$L33,0)</f>
        <v>0</v>
      </c>
    </row>
    <row r="24" spans="1:66" ht="12.75" customHeight="1" x14ac:dyDescent="0.25">
      <c r="A24" s="125" t="s">
        <v>189</v>
      </c>
      <c r="B24" s="129" t="str">
        <f ca="1">CONCATENATE("LH"," ",VLOOKUP("Armoured",Zone_Traduction,ref_langue,FALSE))</f>
        <v>LH Armoured</v>
      </c>
      <c r="C24" s="60">
        <v>17</v>
      </c>
      <c r="D24" s="60">
        <v>14</v>
      </c>
      <c r="E24" s="60">
        <v>9</v>
      </c>
      <c r="F24" s="60">
        <v>6</v>
      </c>
      <c r="G24" s="60">
        <v>0</v>
      </c>
      <c r="H24" s="138">
        <v>0</v>
      </c>
      <c r="J24" s="129" t="str">
        <f ca="1">CONCATENATE("montes"," ",VLOOKUP("Lancer",Zone_Traduction,ref_langue,FALSE))</f>
        <v>montes Lancer</v>
      </c>
      <c r="K24" s="208">
        <v>1</v>
      </c>
      <c r="M24" s="205">
        <v>4</v>
      </c>
      <c r="N24" s="209" t="s">
        <v>78</v>
      </c>
      <c r="Q24" s="169" t="s">
        <v>852</v>
      </c>
      <c r="R24" s="124" t="s">
        <v>860</v>
      </c>
      <c r="AF24" s="128">
        <v>22</v>
      </c>
      <c r="AG24" s="58">
        <f t="shared" si="3"/>
        <v>0.22727272727272729</v>
      </c>
      <c r="AH24" s="58">
        <f t="shared" si="3"/>
        <v>0.45454545454545459</v>
      </c>
      <c r="AI24" s="58">
        <f t="shared" si="3"/>
        <v>0.68181818181818177</v>
      </c>
      <c r="AJ24" s="58">
        <f t="shared" si="3"/>
        <v>0.90909090909090917</v>
      </c>
      <c r="AK24" s="58">
        <f t="shared" si="3"/>
        <v>1.1363636363636362</v>
      </c>
      <c r="AL24" s="58">
        <f t="shared" si="3"/>
        <v>1.3636363636363635</v>
      </c>
      <c r="AM24" s="58">
        <f t="shared" si="3"/>
        <v>1.5909090909090908</v>
      </c>
      <c r="AN24" s="58">
        <f t="shared" si="3"/>
        <v>1.8181818181818183</v>
      </c>
      <c r="AO24" s="58">
        <f t="shared" si="3"/>
        <v>2.0454545454545454</v>
      </c>
      <c r="AP24" s="58">
        <f t="shared" si="3"/>
        <v>2.2727272727272725</v>
      </c>
      <c r="AQ24" s="58">
        <f t="shared" si="3"/>
        <v>2.5</v>
      </c>
      <c r="AR24" s="58">
        <f t="shared" si="3"/>
        <v>2.7272727272727271</v>
      </c>
      <c r="AS24" s="58">
        <f t="shared" si="3"/>
        <v>2.9545454545454546</v>
      </c>
      <c r="AT24" s="58">
        <f t="shared" si="3"/>
        <v>3.1818181818181817</v>
      </c>
      <c r="AU24" s="58">
        <f t="shared" si="3"/>
        <v>3.4090909090909087</v>
      </c>
      <c r="AV24" s="58">
        <f t="shared" si="3"/>
        <v>3.6363636363636367</v>
      </c>
      <c r="AW24" s="58">
        <f>(AW$2/$AF24)*5</f>
        <v>3.8636363636363633</v>
      </c>
      <c r="AX24" s="58">
        <f>(AX$2/$AF24)*5</f>
        <v>4.0909090909090908</v>
      </c>
      <c r="AY24" s="58">
        <f>(AY$2/$AF24)*5</f>
        <v>4.3181818181818183</v>
      </c>
      <c r="AZ24" s="58">
        <f>(AZ$2/$AF24)*5</f>
        <v>4.545454545454545</v>
      </c>
      <c r="BA24" s="58">
        <f>(BA$2/$AF24)*5</f>
        <v>4.7727272727272734</v>
      </c>
      <c r="BB24" s="58">
        <v>10</v>
      </c>
      <c r="BI24" s="54">
        <f>IF(List!P34="-",0,IF(OR(List!E34="LH",List!E34="LF"),0.5,IF(List!E34="SCh",0,1)))</f>
        <v>0</v>
      </c>
      <c r="BJ24" s="54" t="str">
        <f>IF(OR(List!$E34="HF",List!$E34="MF",List!$E34="LF"),"infanterie",IF(OR(List!$E34="Kn",List!$E34="Ct",List!$E34="Cv",List!$E34="LH",List!$E34="LCh",List!$E34="HCh",List!$E34="SCh",List!$E34="EL"),"montes",IF(OR(List!$E34="BWG"),"BWG","special")))</f>
        <v>special</v>
      </c>
      <c r="BK24" s="54">
        <f ca="1">VLOOKUP(List!$E34&amp;" "&amp;List!$F34,Table_budget,MATCH(List!$G34,Colonnes_table_budget,FALSE),FALSE)
   +IF(List!$H34=VLOOKUP("Drilled",Zone_Traduction,ref_langue,FALSE),VLOOKUP(List!$E34&amp;" "&amp;List!$F34,Table_budget,MATCH(VLOOKUP("Drilled",Zone_Traduction,ref_langue,FALSE),Colonnes_table_budget,FALSE),FALSE),0)
   +IF(ISERROR(VLOOKUP(BJ24&amp;" "&amp;$G24,Table_armes_tir,2,FALSE)),0,VLOOKUP(BJ24&amp;" "&amp;$G24,Table_armes_tir,2,FALSE))
   +IF(ISERROR(VLOOKUP(BJ24&amp;" "&amp;$I24,Table_armes_melee,2,FALSE)),0,VLOOKUP(BJ24&amp;" "&amp;$I24,Table_armes_melee,2,FALSE))
   +IF(ISERROR(VLOOKUP($J25,Table_special,2,FALSE)),0,VLOOKUP($J25,Table_special,2,FALSE))</f>
        <v>0</v>
      </c>
      <c r="BL24" s="54">
        <f ca="1">List!$M34*List!$L34</f>
        <v>0</v>
      </c>
      <c r="BM24" s="53"/>
      <c r="BN24" s="54">
        <f>IF(OR(List!$E34="CV",List!$E34="LH",List!$E34="LCH"),List!$L34,0)</f>
        <v>0</v>
      </c>
    </row>
    <row r="25" spans="1:66" ht="12.75" customHeight="1" x14ac:dyDescent="0.25">
      <c r="A25" s="125" t="s">
        <v>189</v>
      </c>
      <c r="B25" s="129" t="str">
        <f ca="1">CONCATENATE("LH"," ",VLOOKUP("Protected",Zone_Traduction,ref_langue,FALSE))</f>
        <v>LH Protected</v>
      </c>
      <c r="C25" s="60">
        <v>12</v>
      </c>
      <c r="D25" s="60">
        <v>10</v>
      </c>
      <c r="E25" s="60">
        <v>6</v>
      </c>
      <c r="F25" s="60">
        <v>4</v>
      </c>
      <c r="G25" s="60">
        <v>0</v>
      </c>
      <c r="H25" s="138">
        <v>0</v>
      </c>
      <c r="J25" s="129" t="str">
        <f ca="1">CONCATENATE("infanterie"," ",VLOOKUP("impact foot",Zone_Traduction,ref_langue,FALSE))</f>
        <v>infanterie Impact Foot</v>
      </c>
      <c r="K25" s="208">
        <v>1</v>
      </c>
      <c r="M25" s="205">
        <v>5</v>
      </c>
      <c r="N25" s="209" t="s">
        <v>79</v>
      </c>
      <c r="Q25" s="169" t="s">
        <v>30</v>
      </c>
      <c r="R25" s="124" t="str">
        <f ca="1">T27</f>
        <v>Bow</v>
      </c>
      <c r="AF25" s="128">
        <v>23</v>
      </c>
      <c r="AG25" s="58">
        <f t="shared" si="3"/>
        <v>0.21739130434782608</v>
      </c>
      <c r="AH25" s="58">
        <f t="shared" si="3"/>
        <v>0.43478260869565216</v>
      </c>
      <c r="AI25" s="58">
        <f t="shared" si="3"/>
        <v>0.65217391304347827</v>
      </c>
      <c r="AJ25" s="58">
        <f t="shared" si="3"/>
        <v>0.86956521739130432</v>
      </c>
      <c r="AK25" s="58">
        <f t="shared" si="3"/>
        <v>1.0869565217391304</v>
      </c>
      <c r="AL25" s="58">
        <f t="shared" si="3"/>
        <v>1.3043478260869565</v>
      </c>
      <c r="AM25" s="58">
        <f t="shared" si="3"/>
        <v>1.5217391304347827</v>
      </c>
      <c r="AN25" s="58">
        <f t="shared" si="3"/>
        <v>1.7391304347826086</v>
      </c>
      <c r="AO25" s="58">
        <f t="shared" si="3"/>
        <v>1.9565217391304348</v>
      </c>
      <c r="AP25" s="58">
        <f t="shared" si="3"/>
        <v>2.1739130434782608</v>
      </c>
      <c r="AQ25" s="58">
        <f t="shared" si="3"/>
        <v>2.3913043478260869</v>
      </c>
      <c r="AR25" s="58">
        <f t="shared" si="3"/>
        <v>2.6086956521739131</v>
      </c>
      <c r="AS25" s="58">
        <f t="shared" si="3"/>
        <v>2.8260869565217388</v>
      </c>
      <c r="AT25" s="58">
        <f t="shared" si="3"/>
        <v>3.0434782608695654</v>
      </c>
      <c r="AU25" s="58">
        <f t="shared" si="3"/>
        <v>3.2608695652173916</v>
      </c>
      <c r="AV25" s="58">
        <f t="shared" si="3"/>
        <v>3.4782608695652173</v>
      </c>
      <c r="AW25" s="58">
        <f t="shared" ref="AW25:BB25" si="4">(AW$2/$AF25)*5</f>
        <v>3.695652173913043</v>
      </c>
      <c r="AX25" s="58">
        <f t="shared" si="4"/>
        <v>3.9130434782608696</v>
      </c>
      <c r="AY25" s="58">
        <f t="shared" si="4"/>
        <v>4.1304347826086953</v>
      </c>
      <c r="AZ25" s="58">
        <f t="shared" si="4"/>
        <v>4.3478260869565215</v>
      </c>
      <c r="BA25" s="58">
        <f t="shared" si="4"/>
        <v>4.5652173913043477</v>
      </c>
      <c r="BB25" s="58">
        <f t="shared" si="4"/>
        <v>4.7826086956521738</v>
      </c>
      <c r="BC25" s="58">
        <v>10</v>
      </c>
      <c r="BI25" s="54">
        <f>IF(List!P35="-",0,IF(OR(List!E35="LH",List!E35="LF"),0.5,IF(List!E35="SCh",0,1)))</f>
        <v>0</v>
      </c>
      <c r="BJ25" s="54" t="str">
        <f>IF(OR(List!$E35="HF",List!$E35="MF",List!$E35="LF"),"infanterie",IF(OR(List!$E35="Kn",List!$E35="Ct",List!$E35="Cv",List!$E35="LH",List!$E35="LCh",List!$E35="HCh",List!$E35="SCh",List!$E35="EL"),"montes",IF(OR(List!$E35="BWG"),"BWG","special")))</f>
        <v>special</v>
      </c>
      <c r="BK25" s="54">
        <f ca="1">VLOOKUP(List!$E35&amp;" "&amp;List!$F35,Table_budget,MATCH(List!$G35,Colonnes_table_budget,FALSE),FALSE)
   +IF(List!$H35=VLOOKUP("Drilled",Zone_Traduction,ref_langue,FALSE),VLOOKUP(List!$E35&amp;" "&amp;List!$F35,Table_budget,MATCH(VLOOKUP("Drilled",Zone_Traduction,ref_langue,FALSE),Colonnes_table_budget,FALSE),FALSE),0)
   +IF(ISERROR(VLOOKUP(BJ25&amp;" "&amp;$G25,Table_armes_tir,2,FALSE)),0,VLOOKUP(BJ25&amp;" "&amp;$G25,Table_armes_tir,2,FALSE))
   +IF(ISERROR(VLOOKUP(BJ25&amp;" "&amp;$I25,Table_armes_melee,2,FALSE)),0,VLOOKUP(BJ25&amp;" "&amp;$I25,Table_armes_melee,2,FALSE))
   +IF(ISERROR(VLOOKUP($J26,Table_special,2,FALSE)),0,VLOOKUP($J26,Table_special,2,FALSE))</f>
        <v>0</v>
      </c>
      <c r="BL25" s="54">
        <f ca="1">List!$M35*List!$L35</f>
        <v>0</v>
      </c>
      <c r="BM25" s="53"/>
      <c r="BN25" s="54">
        <f>IF(OR(List!$E35="CV",List!$E35="LH",List!$E35="LCH"),List!$L35,0)</f>
        <v>0</v>
      </c>
    </row>
    <row r="26" spans="1:66" ht="12.75" customHeight="1" x14ac:dyDescent="0.3">
      <c r="A26" s="125" t="s">
        <v>189</v>
      </c>
      <c r="B26" s="129" t="str">
        <f ca="1">CONCATENATE("LH"," ",VLOOKUP("Unprotected",Zone_Traduction,ref_langue,FALSE))</f>
        <v>LH Unprotected</v>
      </c>
      <c r="C26" s="60">
        <v>10</v>
      </c>
      <c r="D26" s="60">
        <v>8</v>
      </c>
      <c r="E26" s="60">
        <v>5</v>
      </c>
      <c r="F26" s="60">
        <v>3</v>
      </c>
      <c r="G26" s="60">
        <v>0</v>
      </c>
      <c r="H26" s="138">
        <v>0</v>
      </c>
      <c r="J26" s="129" t="str">
        <f ca="1">CONCATENATE("infanterie"," ",VLOOKUP("Offensive spearmen",Zone_Traduction,ref_langue,FALSE))</f>
        <v>infanterie Offensive Spearmen</v>
      </c>
      <c r="K26" s="208">
        <v>2</v>
      </c>
      <c r="M26" s="205">
        <v>6</v>
      </c>
      <c r="N26" s="209" t="s">
        <v>80</v>
      </c>
      <c r="Q26" s="169"/>
      <c r="R26" s="124" t="str">
        <f ca="1">T28</f>
        <v>Bw*</v>
      </c>
      <c r="T26" s="272" t="s">
        <v>895</v>
      </c>
      <c r="BI26" s="54">
        <f>IF(List!P36="-",0,IF(OR(List!E36="LH",List!E36="LF"),0.5,IF(List!E36="SCh",0,1)))</f>
        <v>0</v>
      </c>
      <c r="BJ26" s="54" t="str">
        <f>IF(OR(List!$E36="HF",List!$E36="MF",List!$E36="LF"),"infanterie",IF(OR(List!$E36="Kn",List!$E36="Ct",List!$E36="Cv",List!$E36="LH",List!$E36="LCh",List!$E36="HCh",List!$E36="SCh",List!$E36="EL"),"montes",IF(OR(List!$E36="BWG"),"BWG","special")))</f>
        <v>special</v>
      </c>
      <c r="BK26" s="54">
        <f ca="1">VLOOKUP(List!$E36&amp;" "&amp;List!$F36,Table_budget,MATCH(List!$G36,Colonnes_table_budget,FALSE),FALSE)
   +IF(List!$H36=VLOOKUP("Drilled",Zone_Traduction,ref_langue,FALSE),VLOOKUP(List!$E36&amp;" "&amp;List!$F36,Table_budget,MATCH(VLOOKUP("Drilled",Zone_Traduction,ref_langue,FALSE),Colonnes_table_budget,FALSE),FALSE),0)
   +IF(ISERROR(VLOOKUP(BJ26&amp;" "&amp;$G26,Table_armes_tir,2,FALSE)),0,VLOOKUP(BJ26&amp;" "&amp;$G26,Table_armes_tir,2,FALSE))
   +IF(ISERROR(VLOOKUP(BJ26&amp;" "&amp;$I26,Table_armes_melee,2,FALSE)),0,VLOOKUP(BJ26&amp;" "&amp;$I26,Table_armes_melee,2,FALSE))
   +IF(ISERROR(VLOOKUP($J27,Table_special,2,FALSE)),0,VLOOKUP($J27,Table_special,2,FALSE))</f>
        <v>0</v>
      </c>
      <c r="BL26" s="54">
        <f ca="1">List!$M36*List!$L36</f>
        <v>0</v>
      </c>
      <c r="BM26" s="53"/>
      <c r="BN26" s="54">
        <f>IF(OR(List!$E36="CV",List!$E36="LH",List!$E36="LCH"),List!$L36,0)</f>
        <v>0</v>
      </c>
    </row>
    <row r="27" spans="1:66" ht="12.75" customHeight="1" x14ac:dyDescent="0.25">
      <c r="A27" s="125" t="s">
        <v>22</v>
      </c>
      <c r="B27" s="129" t="s">
        <v>191</v>
      </c>
      <c r="C27" s="60">
        <v>22</v>
      </c>
      <c r="D27" s="60">
        <v>19</v>
      </c>
      <c r="E27" s="60">
        <v>13</v>
      </c>
      <c r="F27" s="60"/>
      <c r="G27" s="60">
        <v>2</v>
      </c>
      <c r="H27" s="138">
        <v>0</v>
      </c>
      <c r="J27" s="129" t="str">
        <f ca="1">CONCATENATE("infanterie"," ",VLOOKUP("defensive spearmen",Zone_Traduction,ref_langue,FALSE))</f>
        <v>infanterie Defensive Spearmen</v>
      </c>
      <c r="K27" s="208">
        <v>1</v>
      </c>
      <c r="M27" s="205">
        <v>7</v>
      </c>
      <c r="N27" s="209" t="s">
        <v>81</v>
      </c>
      <c r="Q27" s="169" t="s">
        <v>853</v>
      </c>
      <c r="R27" s="124" t="str">
        <f ca="1">T29</f>
        <v>Crossbow</v>
      </c>
      <c r="T27" s="58" t="str">
        <f ca="1">VLOOKUP("Bow",Zone_Traduction,ref_langue,FALSE)</f>
        <v>Bow</v>
      </c>
      <c r="BI27" s="54">
        <f>IF(List!P37="-",0,IF(OR(List!E37="LH",List!E37="LF"),0.5,IF(List!E37="SCh",0,1)))</f>
        <v>0</v>
      </c>
      <c r="BJ27" s="54" t="str">
        <f>IF(OR(List!$E37="HF",List!$E37="MF",List!$E37="LF"),"infanterie",IF(OR(List!$E37="Kn",List!$E37="Ct",List!$E37="Cv",List!$E37="LH",List!$E37="LCh",List!$E37="HCh",List!$E37="SCh",List!$E37="EL"),"montes",IF(OR(List!$E37="BWG"),"BWG","special")))</f>
        <v>special</v>
      </c>
      <c r="BK27" s="54">
        <f ca="1">VLOOKUP(List!$E37&amp;" "&amp;List!$F37,Table_budget,MATCH(List!$G37,Colonnes_table_budget,FALSE),FALSE)
   +IF(List!$H37=VLOOKUP("Drilled",Zone_Traduction,ref_langue,FALSE),VLOOKUP(List!$E37&amp;" "&amp;List!$F37,Table_budget,MATCH(VLOOKUP("Drilled",Zone_Traduction,ref_langue,FALSE),Colonnes_table_budget,FALSE),FALSE),0)
   +IF(ISERROR(VLOOKUP(BJ27&amp;" "&amp;$G27,Table_armes_tir,2,FALSE)),0,VLOOKUP(BJ27&amp;" "&amp;$G27,Table_armes_tir,2,FALSE))
   +IF(ISERROR(VLOOKUP(BJ27&amp;" "&amp;$I27,Table_armes_melee,2,FALSE)),0,VLOOKUP(BJ27&amp;" "&amp;$I27,Table_armes_melee,2,FALSE))
   +IF(ISERROR(VLOOKUP($J28,Table_special,2,FALSE)),0,VLOOKUP($J28,Table_special,2,FALSE))</f>
        <v>0</v>
      </c>
      <c r="BL27" s="54">
        <f ca="1">List!$M37*List!$L37</f>
        <v>0</v>
      </c>
      <c r="BM27" s="53"/>
      <c r="BN27" s="54">
        <f>IF(OR(List!$E37="CV",List!$E37="LH",List!$E37="LCH"),List!$L37,0)</f>
        <v>0</v>
      </c>
    </row>
    <row r="28" spans="1:66" ht="12.75" customHeight="1" x14ac:dyDescent="0.25">
      <c r="A28" s="125" t="s">
        <v>22</v>
      </c>
      <c r="B28" s="129" t="s">
        <v>190</v>
      </c>
      <c r="C28" s="60">
        <v>17</v>
      </c>
      <c r="D28" s="60">
        <v>15</v>
      </c>
      <c r="E28" s="60">
        <v>10</v>
      </c>
      <c r="F28" s="60"/>
      <c r="G28" s="60">
        <v>1</v>
      </c>
      <c r="H28" s="138">
        <v>0</v>
      </c>
      <c r="J28" s="129" t="str">
        <f ca="1">CONCATENATE("infanterie"," ",VLOOKUP("Heavy weapon",Zone_Traduction,ref_langue,FALSE))</f>
        <v>infanterie Heavy Weapon</v>
      </c>
      <c r="K28" s="208">
        <v>2</v>
      </c>
      <c r="M28" s="205">
        <v>8</v>
      </c>
      <c r="N28" s="209" t="s">
        <v>82</v>
      </c>
      <c r="Q28" s="58" t="str">
        <f ca="1">VLOOKUP("Heavily Armoured",Zone_Traduction,ref_langue,FALSE)</f>
        <v>Heavily Armoured</v>
      </c>
      <c r="R28" s="124" t="str">
        <f ca="1">T30</f>
        <v>Firearm</v>
      </c>
      <c r="T28" s="58" t="str">
        <f ca="1">VLOOKUP("Bw*",Zone_Traduction,ref_langue,FALSE)</f>
        <v>Bw*</v>
      </c>
      <c r="AF28" s="210" t="s">
        <v>30</v>
      </c>
      <c r="AI28" s="58">
        <f t="shared" ref="AI28:BA28" si="5">ROUNDUP(AI4,0)</f>
        <v>0</v>
      </c>
      <c r="AJ28" s="58">
        <f t="shared" si="5"/>
        <v>0</v>
      </c>
      <c r="AK28" s="58">
        <f t="shared" si="5"/>
        <v>0</v>
      </c>
      <c r="AL28" s="58">
        <f t="shared" si="5"/>
        <v>0</v>
      </c>
      <c r="AM28" s="58">
        <f t="shared" si="5"/>
        <v>0</v>
      </c>
      <c r="AN28" s="58">
        <f t="shared" si="5"/>
        <v>0</v>
      </c>
      <c r="AO28" s="58">
        <f t="shared" si="5"/>
        <v>0</v>
      </c>
      <c r="AP28" s="58">
        <f t="shared" si="5"/>
        <v>0</v>
      </c>
      <c r="AQ28" s="58">
        <f t="shared" si="5"/>
        <v>0</v>
      </c>
      <c r="AR28" s="58">
        <f t="shared" si="5"/>
        <v>0</v>
      </c>
      <c r="AS28" s="58">
        <f t="shared" si="5"/>
        <v>0</v>
      </c>
      <c r="AT28" s="58">
        <f t="shared" si="5"/>
        <v>0</v>
      </c>
      <c r="AU28" s="58">
        <f t="shared" si="5"/>
        <v>0</v>
      </c>
      <c r="AV28" s="58">
        <f t="shared" si="5"/>
        <v>0</v>
      </c>
      <c r="AW28" s="58">
        <f t="shared" si="5"/>
        <v>0</v>
      </c>
      <c r="AX28" s="58">
        <f t="shared" si="5"/>
        <v>0</v>
      </c>
      <c r="AY28" s="58">
        <f t="shared" si="5"/>
        <v>0</v>
      </c>
      <c r="AZ28" s="58">
        <f t="shared" si="5"/>
        <v>0</v>
      </c>
      <c r="BA28" s="58">
        <f t="shared" si="5"/>
        <v>0</v>
      </c>
      <c r="BI28" s="54">
        <f>IF(List!P38="-",0,IF(OR(List!E38="LH",List!E38="LF"),0.5,IF(List!E38="SCh",0,1)))</f>
        <v>0</v>
      </c>
      <c r="BJ28" s="54" t="str">
        <f>IF(OR(List!$E38="HF",List!$E38="MF",List!$E38="LF"),"infanterie",IF(OR(List!$E38="Kn",List!$E38="Ct",List!$E38="Cv",List!$E38="LH",List!$E38="LCh",List!$E38="HCh",List!$E38="SCh",List!$E38="EL"),"montes",IF(OR(List!$E38="BWG"),"BWG","special")))</f>
        <v>special</v>
      </c>
      <c r="BK28" s="54">
        <f ca="1">VLOOKUP(List!$E38&amp;" "&amp;List!$F38,Table_budget,MATCH(List!$G38,Colonnes_table_budget,FALSE),FALSE)
   +IF(List!$H38=VLOOKUP("Drilled",Zone_Traduction,ref_langue,FALSE),VLOOKUP(List!$E38&amp;" "&amp;List!$F38,Table_budget,MATCH(VLOOKUP("Drilled",Zone_Traduction,ref_langue,FALSE),Colonnes_table_budget,FALSE),FALSE),0)
   +IF(ISERROR(VLOOKUP(BJ28&amp;" "&amp;$G28,Table_armes_tir,2,FALSE)),0,VLOOKUP(BJ28&amp;" "&amp;$G28,Table_armes_tir,2,FALSE))
   +IF(ISERROR(VLOOKUP(BJ28&amp;" "&amp;$I28,Table_armes_melee,2,FALSE)),0,VLOOKUP(BJ28&amp;" "&amp;$I28,Table_armes_melee,2,FALSE))
   +IF(ISERROR(VLOOKUP($J30,Table_special,2,FALSE)),0,VLOOKUP($J30,Table_special,2,FALSE))</f>
        <v>0</v>
      </c>
      <c r="BL28" s="54">
        <f ca="1">List!$M38*List!$L38</f>
        <v>0</v>
      </c>
      <c r="BM28" s="53"/>
      <c r="BN28" s="54">
        <f>IF(OR(List!$E38="CV",List!$E38="LH",List!$E38="LCH"),List!$L38,0)</f>
        <v>0</v>
      </c>
    </row>
    <row r="29" spans="1:66" ht="12.75" customHeight="1" x14ac:dyDescent="0.25">
      <c r="A29" s="125" t="s">
        <v>22</v>
      </c>
      <c r="B29" s="129" t="s">
        <v>28</v>
      </c>
      <c r="C29" s="60"/>
      <c r="D29" s="60"/>
      <c r="E29" s="60">
        <v>15</v>
      </c>
      <c r="F29" s="60"/>
      <c r="G29" s="144">
        <v>0</v>
      </c>
      <c r="H29" s="138">
        <v>0</v>
      </c>
      <c r="J29" s="177" t="s">
        <v>847</v>
      </c>
      <c r="K29" s="208">
        <v>2</v>
      </c>
      <c r="M29" s="205">
        <v>9</v>
      </c>
      <c r="N29" s="209" t="s">
        <v>83</v>
      </c>
      <c r="Q29" s="58" t="str">
        <f ca="1">VLOOKUP("Armoured",Zone_Traduction,ref_langue,FALSE)</f>
        <v>Armoured</v>
      </c>
      <c r="R29" s="124" t="s">
        <v>23</v>
      </c>
      <c r="T29" s="58" t="str">
        <f ca="1">VLOOKUP("Crossbow",Zone_Traduction,ref_langue,FALSE)</f>
        <v>Crossbow</v>
      </c>
      <c r="AF29" s="128">
        <v>0</v>
      </c>
      <c r="BI29" s="54">
        <f>IF(List!P39="-",0,IF(OR(List!E39="LH",List!E39="LF"),0.5,IF(List!E39="SCh",0,1)))</f>
        <v>0</v>
      </c>
      <c r="BJ29" s="54" t="str">
        <f>IF(OR(List!$E39="HF",List!$E39="MF",List!$E39="LF"),"infanterie",IF(OR(List!$E39="Kn",List!$E39="Ct",List!$E39="Cv",List!$E39="LH",List!$E39="LCh",List!$E39="HCh",List!$E39="SCh",List!$E39="EL"),"montes",IF(OR(List!$E39="BWG"),"BWG","special")))</f>
        <v>special</v>
      </c>
      <c r="BK29" s="54">
        <f ca="1">VLOOKUP(List!$E39&amp;" "&amp;List!$F39,Table_budget,MATCH(List!$G39,Colonnes_table_budget,FALSE),FALSE)
   +IF(List!$H39=VLOOKUP("Drilled",Zone_Traduction,ref_langue,FALSE),VLOOKUP(List!$E39&amp;" "&amp;List!$F39,Table_budget,MATCH(VLOOKUP("Drilled",Zone_Traduction,ref_langue,FALSE),Colonnes_table_budget,FALSE),FALSE),0)
   +IF(ISERROR(VLOOKUP(BJ29&amp;" "&amp;$G29,Table_armes_tir,2,FALSE)),0,VLOOKUP(BJ29&amp;" "&amp;$G29,Table_armes_tir,2,FALSE))
   +IF(ISERROR(VLOOKUP(BJ29&amp;" "&amp;$I29,Table_armes_melee,2,FALSE)),0,VLOOKUP(BJ29&amp;" "&amp;$I29,Table_armes_melee,2,FALSE))
   +IF(ISERROR(VLOOKUP($J31,Table_special,2,FALSE)),0,VLOOKUP($J31,Table_special,2,FALSE))</f>
        <v>0</v>
      </c>
      <c r="BL29" s="54">
        <f ca="1">List!$M39*List!$L39</f>
        <v>0</v>
      </c>
      <c r="BM29" s="53"/>
      <c r="BN29" s="54">
        <f>IF(OR(List!$E39="CV",List!$E39="LH",List!$E39="LCH"),List!$L39,0)</f>
        <v>0</v>
      </c>
    </row>
    <row r="30" spans="1:66" ht="12.75" customHeight="1" x14ac:dyDescent="0.25">
      <c r="A30" s="125" t="s">
        <v>11</v>
      </c>
      <c r="B30" s="129" t="s">
        <v>29</v>
      </c>
      <c r="C30" s="60"/>
      <c r="D30" s="144">
        <v>35</v>
      </c>
      <c r="E30" s="60">
        <v>25</v>
      </c>
      <c r="F30" s="60">
        <v>20</v>
      </c>
      <c r="G30" s="144">
        <v>0</v>
      </c>
      <c r="H30" s="138">
        <v>0</v>
      </c>
      <c r="J30" s="129" t="str">
        <f ca="1">CONCATENATE("BWG"," ",VLOOKUP("impact foot",Zone_Traduction,ref_langue,FALSE))</f>
        <v>BWG Impact Foot</v>
      </c>
      <c r="K30" s="208">
        <v>3</v>
      </c>
      <c r="M30" s="205">
        <v>10</v>
      </c>
      <c r="N30" s="209" t="s">
        <v>84</v>
      </c>
      <c r="Q30" s="58" t="str">
        <f ca="1">VLOOKUP("Protected",Zone_Traduction,ref_langue,FALSE)</f>
        <v>Protected</v>
      </c>
      <c r="R30" s="124" t="s">
        <v>30</v>
      </c>
      <c r="T30" s="58" t="str">
        <f ca="1">VLOOKUP("Firearm",Zone_Traduction,ref_langue,FALSE)</f>
        <v>Firearm</v>
      </c>
      <c r="BI30" s="54">
        <f>IF(List!P40="-",0,IF(OR(List!E40="LH",List!E40="LF"),0.5,IF(List!E40="SCh",0,1)))</f>
        <v>0</v>
      </c>
      <c r="BJ30" s="54" t="str">
        <f>IF(OR(List!$E40="HF",List!$E40="MF",List!$E40="LF"),"infanterie",IF(OR(List!$E40="Kn",List!$E40="Ct",List!$E40="Cv",List!$E40="LH",List!$E40="LCh",List!$E40="HCh",List!$E40="SCh",List!$E40="EL"),"montes",IF(OR(List!$E40="BWG"),"BWG","special")))</f>
        <v>special</v>
      </c>
      <c r="BK30" s="54">
        <f ca="1">VLOOKUP(List!$E40&amp;" "&amp;List!$F40,Table_budget,MATCH(List!$G40,Colonnes_table_budget,FALSE),FALSE)
   +IF(List!$H40=VLOOKUP("Drilled",Zone_Traduction,ref_langue,FALSE),VLOOKUP(List!$E40&amp;" "&amp;List!$F40,Table_budget,MATCH(VLOOKUP("Drilled",Zone_Traduction,ref_langue,FALSE),Colonnes_table_budget,FALSE),FALSE),0)
   +IF(ISERROR(VLOOKUP(BJ30&amp;" "&amp;$G30,Table_armes_tir,2,FALSE)),0,VLOOKUP(BJ30&amp;" "&amp;$G30,Table_armes_tir,2,FALSE))
   +IF(ISERROR(VLOOKUP(BJ30&amp;" "&amp;$I30,Table_armes_melee,2,FALSE)),0,VLOOKUP(BJ30&amp;" "&amp;$I30,Table_armes_melee,2,FALSE))
   +IF(ISERROR(VLOOKUP($J32,Table_special,2,FALSE)),0,VLOOKUP($J32,Table_special,2,FALSE))</f>
        <v>0</v>
      </c>
      <c r="BL30" s="54">
        <f ca="1">List!$M40*List!$L40</f>
        <v>0</v>
      </c>
      <c r="BM30" s="53"/>
      <c r="BN30" s="54">
        <f>IF(OR(List!$E40="CV",List!$E40="LH",List!$E40="LCH"),List!$L40,0)</f>
        <v>0</v>
      </c>
    </row>
    <row r="31" spans="1:66" ht="12.75" customHeight="1" x14ac:dyDescent="0.25">
      <c r="A31" s="125" t="s">
        <v>12</v>
      </c>
      <c r="B31" s="177" t="s">
        <v>195</v>
      </c>
      <c r="C31" s="60"/>
      <c r="D31" s="60"/>
      <c r="E31" s="60">
        <v>20</v>
      </c>
      <c r="F31" s="60"/>
      <c r="G31" s="60">
        <v>0</v>
      </c>
      <c r="H31" s="138">
        <v>0</v>
      </c>
      <c r="J31" s="129" t="str">
        <f ca="1">CONCATENATE("BWG"," ",VLOOKUP("Offensive spearmen",Zone_Traduction,ref_langue,FALSE))</f>
        <v>BWG Offensive Spearmen</v>
      </c>
      <c r="K31" s="208">
        <v>6</v>
      </c>
      <c r="M31" s="205">
        <v>11</v>
      </c>
      <c r="N31" s="209" t="s">
        <v>85</v>
      </c>
      <c r="Q31" s="58" t="str">
        <f ca="1">VLOOKUP("Unprotected",Zone_Traduction,ref_langue,FALSE)</f>
        <v>Unprotected</v>
      </c>
      <c r="T31" s="124" t="str">
        <f ca="1">VLOOKUP("Javelins",Zone_Traduction,ref_langue,FALSE)</f>
        <v>Javelins</v>
      </c>
      <c r="BI31" s="54">
        <f>IF(List!P41="-",0,IF(OR(List!E41="LH",List!E41="LF"),0.5,IF(List!E41="SCh",0,1)))</f>
        <v>0</v>
      </c>
      <c r="BJ31" s="54" t="str">
        <f>IF(OR(List!$E41="HF",List!$E41="MF",List!$E41="LF"),"infanterie",IF(OR(List!$E41="Kn",List!$E41="Ct",List!$E41="Cv",List!$E41="LH",List!$E41="LCh",List!$E41="HCh",List!$E41="SCh",List!$E41="EL"),"montes",IF(OR(List!$E41="BWG"),"BWG","special")))</f>
        <v>special</v>
      </c>
      <c r="BK31" s="54">
        <f ca="1">VLOOKUP(List!$E41&amp;" "&amp;List!$F41,Table_budget,MATCH(List!$G41,Colonnes_table_budget,FALSE),FALSE)
   +IF(List!$H41=VLOOKUP("Drilled",Zone_Traduction,ref_langue,FALSE),VLOOKUP(List!$E41&amp;" "&amp;List!$F41,Table_budget,MATCH(VLOOKUP("Drilled",Zone_Traduction,ref_langue,FALSE),Colonnes_table_budget,FALSE),FALSE),0)
   +IF(ISERROR(VLOOKUP(BJ31&amp;" "&amp;$G31,Table_armes_tir,2,FALSE)),0,VLOOKUP(BJ31&amp;" "&amp;$G31,Table_armes_tir,2,FALSE))
   +IF(ISERROR(VLOOKUP(BJ31&amp;" "&amp;$I31,Table_armes_melee,2,FALSE)),0,VLOOKUP(BJ31&amp;" "&amp;$I31,Table_armes_melee,2,FALSE))
   +IF(ISERROR(VLOOKUP($J33,Table_special,2,FALSE)),0,VLOOKUP($J33,Table_special,2,FALSE))</f>
        <v>0</v>
      </c>
      <c r="BL31" s="54">
        <f ca="1">List!$M41*List!$L41</f>
        <v>0</v>
      </c>
      <c r="BM31" s="53"/>
      <c r="BN31" s="54">
        <f>IF(OR(List!$E41="CV",List!$E41="LH",List!$E41="LCH"),List!$L41,0)</f>
        <v>0</v>
      </c>
    </row>
    <row r="32" spans="1:66" ht="12.75" customHeight="1" x14ac:dyDescent="0.25">
      <c r="A32" s="125" t="s">
        <v>13</v>
      </c>
      <c r="B32" s="177" t="s">
        <v>196</v>
      </c>
      <c r="C32" s="60"/>
      <c r="D32" s="60"/>
      <c r="E32" s="60">
        <v>15</v>
      </c>
      <c r="F32" s="60"/>
      <c r="G32" s="60">
        <v>0</v>
      </c>
      <c r="H32" s="138">
        <v>0</v>
      </c>
      <c r="J32" s="129" t="str">
        <f ca="1">CONCATENATE("BWG"," ",VLOOKUP("defensive spearmen",Zone_Traduction,ref_langue,FALSE))</f>
        <v>BWG Defensive Spearmen</v>
      </c>
      <c r="K32" s="208">
        <v>3</v>
      </c>
      <c r="M32" s="205">
        <v>12</v>
      </c>
      <c r="N32" s="209" t="s">
        <v>86</v>
      </c>
      <c r="Q32" s="58" t="s">
        <v>30</v>
      </c>
      <c r="R32" s="124" t="s">
        <v>861</v>
      </c>
      <c r="T32" s="124" t="str">
        <f ca="1">VLOOKUP("Sling",Zone_Traduction,ref_langue,FALSE)</f>
        <v>Sling</v>
      </c>
      <c r="AF32" s="128">
        <v>6</v>
      </c>
      <c r="AG32" s="58">
        <v>2</v>
      </c>
      <c r="AH32" s="58">
        <v>3</v>
      </c>
      <c r="AI32" s="58">
        <v>5</v>
      </c>
      <c r="AJ32" s="58">
        <v>6</v>
      </c>
      <c r="AK32" s="58">
        <v>8</v>
      </c>
      <c r="AL32" s="58">
        <f t="shared" ref="AL32:AN34" si="6">ROUNDUP(AL8,0)</f>
        <v>10</v>
      </c>
      <c r="AM32" s="58">
        <f t="shared" si="6"/>
        <v>0</v>
      </c>
      <c r="AN32" s="58">
        <f t="shared" si="6"/>
        <v>0</v>
      </c>
      <c r="AO32" s="58">
        <f>ROUNDUP(AO8,0)</f>
        <v>0</v>
      </c>
      <c r="AP32" s="58">
        <f>ROUNDUP(AP8,0)</f>
        <v>0</v>
      </c>
      <c r="BI32" s="54">
        <f>IF(List!P42="-",0,IF(OR(List!E42="LH",List!E42="LF"),0.5,IF(List!E42="SCh",0,1)))</f>
        <v>0</v>
      </c>
      <c r="BJ32" s="54" t="str">
        <f>IF(OR(List!$E42="HF",List!$E42="MF",List!$E42="LF"),"infanterie",IF(OR(List!$E42="Kn",List!$E42="Ct",List!$E42="Cv",List!$E42="LH",List!$E42="LCh",List!$E42="HCh",List!$E42="SCh",List!$E42="EL"),"montes",IF(OR(List!$E42="BWG"),"BWG","special")))</f>
        <v>special</v>
      </c>
      <c r="BK32" s="54">
        <f ca="1">VLOOKUP(List!$E42&amp;" "&amp;List!$F42,Table_budget,MATCH(List!$G42,Colonnes_table_budget,FALSE),FALSE)
   +IF(List!$H42=VLOOKUP("Drilled",Zone_Traduction,ref_langue,FALSE),VLOOKUP(List!$E42&amp;" "&amp;List!$F42,Table_budget,MATCH(VLOOKUP("Drilled",Zone_Traduction,ref_langue,FALSE),Colonnes_table_budget,FALSE),FALSE),0)
   +IF(ISERROR(VLOOKUP(BJ32&amp;" "&amp;$G32,Table_armes_tir,2,FALSE)),0,VLOOKUP(BJ32&amp;" "&amp;$G32,Table_armes_tir,2,FALSE))
   +IF(ISERROR(VLOOKUP(BJ32&amp;" "&amp;$I32,Table_armes_melee,2,FALSE)),0,VLOOKUP(BJ32&amp;" "&amp;$I32,Table_armes_melee,2,FALSE))
   +IF(ISERROR(VLOOKUP($J34,Table_special,2,FALSE)),0,VLOOKUP($J34,Table_special,2,FALSE))</f>
        <v>0</v>
      </c>
      <c r="BL32" s="54">
        <f ca="1">List!$M42*List!$L42</f>
        <v>0</v>
      </c>
      <c r="BM32" s="53"/>
      <c r="BN32" s="54">
        <f>IF(OR(List!$E42="CV",List!$E42="LH",List!$E42="LCH"),List!$L42,0)</f>
        <v>0</v>
      </c>
    </row>
    <row r="33" spans="1:66" ht="12.75" customHeight="1" x14ac:dyDescent="0.25">
      <c r="A33" s="125" t="s">
        <v>186</v>
      </c>
      <c r="B33" s="177" t="s">
        <v>194</v>
      </c>
      <c r="C33" s="60"/>
      <c r="D33" s="60"/>
      <c r="E33" s="60">
        <v>14</v>
      </c>
      <c r="F33" s="60">
        <v>10</v>
      </c>
      <c r="G33" s="144">
        <v>0</v>
      </c>
      <c r="H33" s="138">
        <v>0</v>
      </c>
      <c r="J33" s="203" t="str">
        <f ca="1">CONCATENATE("BWG"," ",VLOOKUP("Heavy weapon",Zone_Traduction,ref_langue,FALSE))</f>
        <v>BWG Heavy Weapon</v>
      </c>
      <c r="K33" s="211">
        <v>6</v>
      </c>
      <c r="M33" s="205">
        <v>13</v>
      </c>
      <c r="N33" s="209" t="s">
        <v>87</v>
      </c>
      <c r="R33" s="124" t="str">
        <f ca="1">T27</f>
        <v>Bow</v>
      </c>
      <c r="T33" s="58" t="str">
        <f ca="1">VLOOKUP("Light Artillery",Zone_Traduction,ref_langue,FALSE)</f>
        <v>Light Artillery</v>
      </c>
      <c r="AF33" s="128">
        <v>7</v>
      </c>
      <c r="AG33" s="58">
        <v>2</v>
      </c>
      <c r="AH33" s="58">
        <v>3</v>
      </c>
      <c r="AI33" s="58">
        <v>4</v>
      </c>
      <c r="AJ33" s="58">
        <v>6</v>
      </c>
      <c r="AK33" s="58">
        <v>7</v>
      </c>
      <c r="AL33" s="58">
        <v>8</v>
      </c>
      <c r="AM33" s="58">
        <f t="shared" si="6"/>
        <v>10</v>
      </c>
      <c r="AN33" s="58">
        <f t="shared" si="6"/>
        <v>0</v>
      </c>
      <c r="BI33" s="54">
        <f>IF(List!P43="-",0,IF(OR(List!E43="LH",List!E43="LF"),0.5,IF(List!E43="SCh",0,1)))</f>
        <v>0</v>
      </c>
      <c r="BJ33" s="54" t="str">
        <f>IF(OR(List!$E43="HF",List!$E43="MF",List!$E43="LF"),"infanterie",IF(OR(List!$E43="Kn",List!$E43="Ct",List!$E43="Cv",List!$E43="LH",List!$E43="LCh",List!$E43="HCh",List!$E43="SCh",List!$E43="EL"),"montes",IF(OR(List!$E43="BWG"),"BWG","special")))</f>
        <v>special</v>
      </c>
      <c r="BK33" s="54">
        <f ca="1">VLOOKUP(List!$E43&amp;" "&amp;List!$F43,Table_budget,MATCH(List!$G43,Colonnes_table_budget,FALSE),FALSE)
   +IF(List!$H43=VLOOKUP("Drilled",Zone_Traduction,ref_langue,FALSE),VLOOKUP(List!$E43&amp;" "&amp;List!$F43,Table_budget,MATCH(VLOOKUP("Drilled",Zone_Traduction,ref_langue,FALSE),Colonnes_table_budget,FALSE),FALSE),0)
   +IF(ISERROR(VLOOKUP(BJ33&amp;" "&amp;$G33,Table_armes_tir,2,FALSE)),0,VLOOKUP(BJ33&amp;" "&amp;$G33,Table_armes_tir,2,FALSE))
   +IF(ISERROR(VLOOKUP(BJ33&amp;" "&amp;$I33,Table_armes_melee,2,FALSE)),0,VLOOKUP(BJ33&amp;" "&amp;$I33,Table_armes_melee,2,FALSE))
   +IF(ISERROR(VLOOKUP($J35,Table_special,2,FALSE)),0,VLOOKUP($J35,Table_special,2,FALSE))</f>
        <v>0</v>
      </c>
      <c r="BL33" s="54">
        <f ca="1">List!$M43*List!$L43</f>
        <v>0</v>
      </c>
      <c r="BM33" s="53"/>
      <c r="BN33" s="54">
        <f>IF(OR(List!$E43="CV",List!$E43="LH",List!$E43="LCH"),List!$L43,0)</f>
        <v>0</v>
      </c>
    </row>
    <row r="34" spans="1:66" ht="12.75" customHeight="1" x14ac:dyDescent="0.25">
      <c r="A34" s="125" t="s">
        <v>27</v>
      </c>
      <c r="B34" s="129" t="str">
        <f ca="1">CONCATENATE("Mob"," ",VLOOKUP("Protected",Zone_Traduction,ref_langue,FALSE))</f>
        <v>Mob Protected</v>
      </c>
      <c r="C34" s="60">
        <v>9</v>
      </c>
      <c r="D34" s="60">
        <v>7</v>
      </c>
      <c r="E34" s="60">
        <v>5</v>
      </c>
      <c r="F34" s="60">
        <v>3</v>
      </c>
      <c r="G34" s="60">
        <v>1</v>
      </c>
      <c r="H34" s="138">
        <v>0</v>
      </c>
      <c r="J34" s="124" t="s">
        <v>935</v>
      </c>
      <c r="K34" s="125">
        <v>6</v>
      </c>
      <c r="M34" s="205">
        <v>14</v>
      </c>
      <c r="N34" s="209" t="s">
        <v>88</v>
      </c>
      <c r="Q34" s="58" t="s">
        <v>850</v>
      </c>
      <c r="R34" s="124" t="str">
        <f ca="1">T31</f>
        <v>Javelins</v>
      </c>
      <c r="T34" s="271" t="str">
        <f ca="1">VLOOKUP("Longbow",Zone_Traduction,ref_langue,FALSE)</f>
        <v>Longbow</v>
      </c>
      <c r="AF34" s="128">
        <v>8</v>
      </c>
      <c r="AG34" s="58">
        <f>ROUNDUP(AG10,0)</f>
        <v>1</v>
      </c>
      <c r="AH34" s="58">
        <f>ROUNDUP(AH10,0)</f>
        <v>2</v>
      </c>
      <c r="AI34" s="58">
        <v>4</v>
      </c>
      <c r="AJ34" s="58">
        <v>5</v>
      </c>
      <c r="AK34" s="58">
        <v>6</v>
      </c>
      <c r="AL34" s="58">
        <v>7</v>
      </c>
      <c r="AM34" s="58">
        <v>8</v>
      </c>
      <c r="AN34" s="58">
        <f t="shared" si="6"/>
        <v>10</v>
      </c>
      <c r="AO34" s="58">
        <f t="shared" ref="AO34:AP36" si="7">ROUNDUP(AO10,0)</f>
        <v>0</v>
      </c>
      <c r="AP34" s="58">
        <f t="shared" si="7"/>
        <v>0</v>
      </c>
      <c r="BI34" s="54">
        <f>IF(List!P44="-",0,IF(OR(List!E44="LH",List!E44="LF"),0.5,IF(List!E44="SCh",0,1)))</f>
        <v>0</v>
      </c>
      <c r="BJ34" s="54" t="str">
        <f>IF(OR(List!$E44="HF",List!$E44="MF",List!$E44="LF"),"infanterie",IF(OR(List!$E44="Kn",List!$E44="Ct",List!$E44="Cv",List!$E44="LH",List!$E44="LCh",List!$E44="HCh",List!$E44="SCh",List!$E44="EL"),"montes",IF(OR(List!$E44="BWG"),"BWG","special")))</f>
        <v>special</v>
      </c>
      <c r="BK34" s="54">
        <f ca="1">VLOOKUP(List!$E44&amp;" "&amp;List!$F44,Table_budget,MATCH(List!$G44,Colonnes_table_budget,FALSE),FALSE)
   +IF(List!$H44=VLOOKUP("Drilled",Zone_Traduction,ref_langue,FALSE),VLOOKUP(List!$E44&amp;" "&amp;List!$F44,Table_budget,MATCH(VLOOKUP("Drilled",Zone_Traduction,ref_langue,FALSE),Colonnes_table_budget,FALSE),FALSE),0)
   +IF(ISERROR(VLOOKUP(BJ34&amp;" "&amp;$G34,Table_armes_tir,2,FALSE)),0,VLOOKUP(BJ34&amp;" "&amp;$G34,Table_armes_tir,2,FALSE))
   +IF(ISERROR(VLOOKUP(BJ34&amp;" "&amp;$I34,Table_armes_melee,2,FALSE)),0,VLOOKUP(BJ34&amp;" "&amp;$I34,Table_armes_melee,2,FALSE))
   +IF(ISERROR(VLOOKUP($J36,Table_special,2,FALSE)),0,VLOOKUP($J36,Table_special,2,FALSE))</f>
        <v>0</v>
      </c>
      <c r="BL34" s="54">
        <f ca="1">List!$M44*List!$L44</f>
        <v>0</v>
      </c>
      <c r="BM34" s="53"/>
      <c r="BN34" s="54">
        <f>IF(OR(List!$E44="CV",List!$E44="LH",List!$E44="LCH"),List!$L44,0)</f>
        <v>0</v>
      </c>
    </row>
    <row r="35" spans="1:66" ht="12.75" customHeight="1" x14ac:dyDescent="0.25">
      <c r="A35" s="125"/>
      <c r="B35" s="212" t="s">
        <v>35</v>
      </c>
      <c r="C35" s="60"/>
      <c r="D35" s="60"/>
      <c r="E35" s="60"/>
      <c r="F35" s="60"/>
      <c r="G35" s="60"/>
      <c r="H35" s="138">
        <v>0</v>
      </c>
      <c r="M35" s="205">
        <v>15</v>
      </c>
      <c r="N35" s="209" t="s">
        <v>89</v>
      </c>
      <c r="Q35" s="58" t="str">
        <f ca="1">Q28</f>
        <v>Heavily Armoured</v>
      </c>
      <c r="R35" s="124" t="str">
        <f ca="1">T29</f>
        <v>Crossbow</v>
      </c>
      <c r="T35" s="271" t="str">
        <f ca="1">VLOOKUP("Heavy Artillery",Zone_Traduction,ref_langue,FALSE)</f>
        <v>Heavy Artillery</v>
      </c>
      <c r="AF35" s="128">
        <v>9</v>
      </c>
      <c r="AG35" s="58">
        <f>ROUNDUP(AG11,0)</f>
        <v>1</v>
      </c>
      <c r="AH35" s="58">
        <f>ROUNDUP(AH11,0)</f>
        <v>2</v>
      </c>
      <c r="AI35" s="58">
        <v>3</v>
      </c>
      <c r="AJ35" s="58">
        <v>4</v>
      </c>
      <c r="AK35" s="58">
        <v>5</v>
      </c>
      <c r="AL35" s="58">
        <v>6</v>
      </c>
      <c r="AM35" s="58">
        <v>7</v>
      </c>
      <c r="AN35" s="58">
        <v>8</v>
      </c>
      <c r="AO35" s="58">
        <f t="shared" si="7"/>
        <v>10</v>
      </c>
      <c r="AP35" s="58">
        <f t="shared" si="7"/>
        <v>0</v>
      </c>
      <c r="AQ35" s="58">
        <f t="shared" ref="AQ35:AR38" si="8">ROUNDUP(AQ11,0)</f>
        <v>0</v>
      </c>
      <c r="AR35" s="58">
        <f t="shared" si="8"/>
        <v>0</v>
      </c>
      <c r="BI35" s="54">
        <f>IF(List!P45="-",0,IF(OR(List!E45="LH",List!E45="LF"),0.5,IF(List!E45="SCh",0,1)))</f>
        <v>0</v>
      </c>
      <c r="BJ35" s="54" t="str">
        <f>IF(OR(List!$E45="HF",List!$E45="MF",List!$E45="LF"),"infanterie",IF(OR(List!$E45="Kn",List!$E45="Ct",List!$E45="Cv",List!$E45="LH",List!$E45="LCh",List!$E45="HCh",List!$E45="SCh",List!$E45="EL"),"montes",IF(OR(List!$E45="BWG"),"BWG","special")))</f>
        <v>special</v>
      </c>
      <c r="BK35" s="54">
        <f ca="1">VLOOKUP(List!$E45&amp;" "&amp;List!$F45,Table_budget,MATCH(List!$G45,Colonnes_table_budget,FALSE),FALSE)
   +IF(List!$H45=VLOOKUP("Drilled",Zone_Traduction,ref_langue,FALSE),VLOOKUP(List!$E45&amp;" "&amp;List!$F45,Table_budget,MATCH(VLOOKUP("Drilled",Zone_Traduction,ref_langue,FALSE),Colonnes_table_budget,FALSE),FALSE),0)
   +IF(ISERROR(VLOOKUP(BJ35&amp;" "&amp;$G35,Table_armes_tir,2,FALSE)),0,VLOOKUP(BJ35&amp;" "&amp;$G35,Table_armes_tir,2,FALSE))
   +IF(ISERROR(VLOOKUP(BJ35&amp;" "&amp;$I35,Table_armes_melee,2,FALSE)),0,VLOOKUP(BJ35&amp;" "&amp;$I35,Table_armes_melee,2,FALSE))
   +IF(ISERROR(VLOOKUP($J37,Table_special,2,FALSE)),0,VLOOKUP($J37,Table_special,2,FALSE))</f>
        <v>0</v>
      </c>
      <c r="BL35" s="54">
        <f ca="1">List!$M45*List!$L45</f>
        <v>0</v>
      </c>
      <c r="BM35" s="53"/>
      <c r="BN35" s="54">
        <f>IF(OR(List!$E45="CV",List!$E45="LH",List!$E45="LCH"),List!$L45,0)</f>
        <v>0</v>
      </c>
    </row>
    <row r="36" spans="1:66" ht="12.75" customHeight="1" x14ac:dyDescent="0.25">
      <c r="B36" s="213"/>
      <c r="C36" s="60"/>
      <c r="D36" s="60"/>
      <c r="E36" s="60"/>
      <c r="F36" s="60"/>
      <c r="G36" s="60"/>
      <c r="H36" s="138"/>
      <c r="M36" s="205">
        <v>16</v>
      </c>
      <c r="N36" s="209" t="s">
        <v>90</v>
      </c>
      <c r="Q36" s="58" t="str">
        <f ca="1">Q29</f>
        <v>Armoured</v>
      </c>
      <c r="R36" s="124" t="s">
        <v>30</v>
      </c>
      <c r="AF36" s="128">
        <v>10</v>
      </c>
      <c r="AG36" s="58">
        <f>ROUNDUP(AG12,0)</f>
        <v>1</v>
      </c>
      <c r="AH36" s="58">
        <v>2</v>
      </c>
      <c r="AI36" s="58">
        <v>3</v>
      </c>
      <c r="AJ36" s="58">
        <v>4</v>
      </c>
      <c r="AK36" s="58">
        <v>5</v>
      </c>
      <c r="AL36" s="58">
        <v>6</v>
      </c>
      <c r="AM36" s="58">
        <v>7</v>
      </c>
      <c r="AN36" s="58">
        <v>8</v>
      </c>
      <c r="AO36" s="58">
        <v>9</v>
      </c>
      <c r="AP36" s="58">
        <f t="shared" si="7"/>
        <v>10</v>
      </c>
      <c r="AQ36" s="58">
        <f t="shared" si="8"/>
        <v>0</v>
      </c>
      <c r="AR36" s="58">
        <f t="shared" si="8"/>
        <v>0</v>
      </c>
      <c r="AS36" s="58">
        <f>ROUNDUP(AS12,0)</f>
        <v>0</v>
      </c>
      <c r="BI36" s="54">
        <f>IF(List!P46="-",0,IF(OR(List!E46="LH",List!E46="LF"),0.5,IF(List!E46="SCh",0,1)))</f>
        <v>0</v>
      </c>
      <c r="BJ36" s="54" t="str">
        <f>IF(OR(List!$E46="HF",List!$E46="MF",List!$E46="LF"),"infanterie",IF(OR(List!$E46="Kn",List!$E46="Ct",List!$E46="Cv",List!$E46="LH",List!$E46="LCh",List!$E46="HCh",List!$E46="SCh",List!$E46="EL"),"montes",IF(OR(List!$E46="BWG"),"BWG","special")))</f>
        <v>special</v>
      </c>
      <c r="BK36" s="54">
        <f ca="1">VLOOKUP(List!$E46&amp;" "&amp;List!$F46,Table_budget,MATCH(List!$G46,Colonnes_table_budget,FALSE),FALSE)
   +IF(List!$H46=VLOOKUP("Drilled",Zone_Traduction,ref_langue,FALSE),VLOOKUP(List!$E46&amp;" "&amp;List!$F46,Table_budget,MATCH(VLOOKUP("Drilled",Zone_Traduction,ref_langue,FALSE),Colonnes_table_budget,FALSE),FALSE),0)
   +IF(ISERROR(VLOOKUP(BJ36&amp;" "&amp;$G36,Table_armes_tir,2,FALSE)),0,VLOOKUP(BJ36&amp;" "&amp;$G36,Table_armes_tir,2,FALSE))
   +IF(ISERROR(VLOOKUP(BJ36&amp;" "&amp;$I36,Table_armes_melee,2,FALSE)),0,VLOOKUP(BJ36&amp;" "&amp;$I36,Table_armes_melee,2,FALSE))
   +IF(ISERROR(VLOOKUP($J38,Table_special,2,FALSE)),0,VLOOKUP($J38,Table_special,2,FALSE))</f>
        <v>0</v>
      </c>
      <c r="BL36" s="54">
        <f ca="1">List!$M46*List!$L46</f>
        <v>0</v>
      </c>
      <c r="BM36" s="53"/>
      <c r="BN36" s="54">
        <f>IF(OR(List!$E46="CV",List!$E46="LH",List!$E46="LCH"),List!$L46,0)</f>
        <v>0</v>
      </c>
    </row>
    <row r="37" spans="1:66" ht="12.75" customHeight="1" x14ac:dyDescent="0.25">
      <c r="B37" s="203"/>
      <c r="C37" s="198"/>
      <c r="D37" s="198"/>
      <c r="E37" s="198"/>
      <c r="F37" s="198"/>
      <c r="G37" s="198"/>
      <c r="H37" s="196"/>
      <c r="J37" s="214"/>
      <c r="K37" s="215"/>
      <c r="M37" s="205">
        <v>17</v>
      </c>
      <c r="N37" s="209" t="s">
        <v>91</v>
      </c>
      <c r="Q37" s="58" t="s">
        <v>30</v>
      </c>
      <c r="AF37" s="128">
        <v>11</v>
      </c>
      <c r="AG37" s="58">
        <f>ROUNDUP(AG13,0)</f>
        <v>1</v>
      </c>
      <c r="AH37" s="58">
        <v>2</v>
      </c>
      <c r="AI37" s="58">
        <v>3</v>
      </c>
      <c r="AJ37" s="58">
        <v>3</v>
      </c>
      <c r="AK37" s="58">
        <v>4</v>
      </c>
      <c r="AL37" s="58">
        <v>5</v>
      </c>
      <c r="AM37" s="58">
        <v>6</v>
      </c>
      <c r="AN37" s="58">
        <v>7</v>
      </c>
      <c r="AO37" s="58">
        <v>8</v>
      </c>
      <c r="AP37" s="58">
        <v>9</v>
      </c>
      <c r="AQ37" s="58">
        <f t="shared" si="8"/>
        <v>10</v>
      </c>
      <c r="AR37" s="58">
        <f t="shared" si="8"/>
        <v>0</v>
      </c>
      <c r="AS37" s="58">
        <f>ROUNDUP(AS13,0)</f>
        <v>0</v>
      </c>
      <c r="AT37" s="58">
        <f>ROUNDUP(AT13,0)</f>
        <v>0</v>
      </c>
      <c r="BI37" s="54">
        <f>IF(List!P47="-",0,IF(OR(List!E47="LH",List!E47="LF"),0.5,IF(List!E47="SCh",0,1)))</f>
        <v>0</v>
      </c>
      <c r="BJ37" s="54" t="str">
        <f>IF(OR(List!$E47="HF",List!$E47="MF",List!$E47="LF"),"infanterie",IF(OR(List!$E47="Kn",List!$E47="Ct",List!$E47="Cv",List!$E47="LH",List!$E47="LCh",List!$E47="HCh",List!$E47="SCh",List!$E47="EL"),"montes",IF(OR(List!$E47="BWG"),"BWG","special")))</f>
        <v>special</v>
      </c>
      <c r="BK37" s="54">
        <f ca="1">VLOOKUP(List!$E47&amp;" "&amp;List!$F47,Table_budget,MATCH(List!$G47,Colonnes_table_budget,FALSE),FALSE)
   +IF(List!$H47=VLOOKUP("Drilled",Zone_Traduction,ref_langue,FALSE),VLOOKUP(List!$E47&amp;" "&amp;List!$F47,Table_budget,MATCH(VLOOKUP("Drilled",Zone_Traduction,ref_langue,FALSE),Colonnes_table_budget,FALSE),FALSE),0)
   +IF(ISERROR(VLOOKUP(BJ37&amp;" "&amp;$G37,Table_armes_tir,2,FALSE)),0,VLOOKUP(BJ37&amp;" "&amp;$G37,Table_armes_tir,2,FALSE))
   +IF(ISERROR(VLOOKUP(BJ37&amp;" "&amp;$I37,Table_armes_melee,2,FALSE)),0,VLOOKUP(BJ37&amp;" "&amp;$I37,Table_armes_melee,2,FALSE))
   +IF(ISERROR(VLOOKUP($J39,Table_special,2,FALSE)),0,VLOOKUP($J39,Table_special,2,FALSE))</f>
        <v>0</v>
      </c>
      <c r="BL37" s="54">
        <f ca="1">List!$M47*List!$L47</f>
        <v>0</v>
      </c>
      <c r="BM37" s="53"/>
      <c r="BN37" s="54">
        <f>IF(OR(List!$E47="CV",List!$E47="LH",List!$E47="LCH"),List!$L47,0)</f>
        <v>0</v>
      </c>
    </row>
    <row r="38" spans="1:66" ht="12.75" customHeight="1" x14ac:dyDescent="0.25">
      <c r="B38" s="216"/>
      <c r="C38" s="60"/>
      <c r="D38" s="60"/>
      <c r="E38" s="60"/>
      <c r="F38" s="60"/>
      <c r="G38" s="60"/>
      <c r="H38" s="60"/>
      <c r="J38" s="214"/>
      <c r="K38" s="215"/>
      <c r="M38" s="205">
        <v>18</v>
      </c>
      <c r="N38" s="209" t="s">
        <v>92</v>
      </c>
      <c r="R38" s="124" t="s">
        <v>862</v>
      </c>
      <c r="AF38" s="128">
        <v>12</v>
      </c>
      <c r="AG38" s="58">
        <v>1</v>
      </c>
      <c r="AH38" s="58">
        <v>2</v>
      </c>
      <c r="AI38" s="58">
        <v>2</v>
      </c>
      <c r="AJ38" s="58">
        <v>3</v>
      </c>
      <c r="AK38" s="58">
        <v>4</v>
      </c>
      <c r="AL38" s="58">
        <v>5</v>
      </c>
      <c r="AM38" s="58">
        <v>6</v>
      </c>
      <c r="AN38" s="58">
        <v>6</v>
      </c>
      <c r="AO38" s="58">
        <v>7</v>
      </c>
      <c r="AP38" s="58">
        <v>8</v>
      </c>
      <c r="AQ38" s="58">
        <v>9</v>
      </c>
      <c r="AR38" s="58">
        <f t="shared" si="8"/>
        <v>10</v>
      </c>
      <c r="BI38" s="54">
        <f>IF(List!P48="-",0,IF(OR(List!E48="LH",List!E48="LF"),0.5,IF(List!E48="SCh",0,1)))</f>
        <v>0</v>
      </c>
      <c r="BJ38" s="54" t="str">
        <f>IF(OR(List!$E48="HF",List!$E48="MF",List!$E48="LF"),"infanterie",IF(OR(List!$E48="Kn",List!$E48="Ct",List!$E48="Cv",List!$E48="LH",List!$E48="LCh",List!$E48="HCh",List!$E48="SCh",List!$E48="EL"),"montes",IF(OR(List!$E48="BWG"),"BWG","special")))</f>
        <v>special</v>
      </c>
      <c r="BK38" s="54">
        <f ca="1">VLOOKUP(List!$E48&amp;" "&amp;List!$F48,Table_budget,MATCH(List!$G48,Colonnes_table_budget,FALSE),FALSE)
   +IF(List!$H48=VLOOKUP("Drilled",Zone_Traduction,ref_langue,FALSE),VLOOKUP(List!$E48&amp;" "&amp;List!$F48,Table_budget,MATCH(VLOOKUP("Drilled",Zone_Traduction,ref_langue,FALSE),Colonnes_table_budget,FALSE),FALSE),0)
   +IF(ISERROR(VLOOKUP(BJ38&amp;" "&amp;$G38,Table_armes_tir,2,FALSE)),0,VLOOKUP(BJ38&amp;" "&amp;$G38,Table_armes_tir,2,FALSE))
   +IF(ISERROR(VLOOKUP(BJ38&amp;" "&amp;$I38,Table_armes_melee,2,FALSE)),0,VLOOKUP(BJ38&amp;" "&amp;$I38,Table_armes_melee,2,FALSE))
   +IF(ISERROR(VLOOKUP($J40,Table_special,2,FALSE)),0,VLOOKUP($J40,Table_special,2,FALSE))</f>
        <v>0</v>
      </c>
      <c r="BL38" s="54">
        <f ca="1">List!$M48*List!$L48</f>
        <v>0</v>
      </c>
      <c r="BM38" s="53"/>
      <c r="BN38" s="54">
        <f>IF(OR(List!$E48="CV",List!$E48="LH",List!$E48="LCH"),List!$L48,0)</f>
        <v>0</v>
      </c>
    </row>
    <row r="39" spans="1:66" ht="12.75" customHeight="1" x14ac:dyDescent="0.25">
      <c r="B39" s="216"/>
      <c r="C39" s="60"/>
      <c r="D39" s="60"/>
      <c r="E39" s="60"/>
      <c r="F39" s="60"/>
      <c r="G39" s="60"/>
      <c r="H39" s="60"/>
      <c r="J39" s="214"/>
      <c r="K39" s="215"/>
      <c r="M39" s="205">
        <v>19</v>
      </c>
      <c r="N39" s="209" t="s">
        <v>93</v>
      </c>
      <c r="Q39" s="58" t="s">
        <v>851</v>
      </c>
      <c r="R39" s="124" t="str">
        <f ca="1">T27</f>
        <v>Bow</v>
      </c>
      <c r="AF39" s="128">
        <v>13</v>
      </c>
      <c r="AG39" s="58">
        <v>1</v>
      </c>
      <c r="AH39" s="58">
        <v>1</v>
      </c>
      <c r="AI39" s="58">
        <v>2</v>
      </c>
      <c r="AJ39" s="58">
        <v>3</v>
      </c>
      <c r="AK39" s="58">
        <v>4</v>
      </c>
      <c r="AL39" s="58">
        <v>4</v>
      </c>
      <c r="AM39" s="58">
        <v>5</v>
      </c>
      <c r="AN39" s="58">
        <v>6</v>
      </c>
      <c r="AO39" s="58">
        <v>7</v>
      </c>
      <c r="AP39" s="58">
        <v>7</v>
      </c>
      <c r="AQ39" s="58">
        <v>8</v>
      </c>
      <c r="AR39" s="58">
        <v>9</v>
      </c>
      <c r="AS39" s="58">
        <f t="shared" ref="AS39:AU40" si="9">ROUNDUP(AS15,0)</f>
        <v>10</v>
      </c>
      <c r="AT39" s="58">
        <f t="shared" si="9"/>
        <v>0</v>
      </c>
      <c r="AU39" s="58">
        <f t="shared" si="9"/>
        <v>0</v>
      </c>
      <c r="BI39" s="54">
        <f>IF(List!P49="-",0,IF(OR(List!E49="LH",List!E49="LF"),0.5,IF(List!E49="SCh",0,1)))</f>
        <v>0</v>
      </c>
      <c r="BJ39" s="54" t="str">
        <f>IF(OR(List!$E49="HF",List!$E49="MF",List!$E49="LF"),"infanterie",IF(OR(List!$E49="Kn",List!$E49="Ct",List!$E49="Cv",List!$E49="LH",List!$E49="LCh",List!$E49="HCh",List!$E49="SCh",List!$E49="EL"),"montes",IF(OR(List!$E49="BWG"),"BWG","special")))</f>
        <v>special</v>
      </c>
      <c r="BK39" s="54">
        <f ca="1">VLOOKUP(List!$E49&amp;" "&amp;List!$F49,Table_budget,MATCH(List!$G49,Colonnes_table_budget,FALSE),FALSE)
   +IF(List!$H49=VLOOKUP("Drilled",Zone_Traduction,ref_langue,FALSE),VLOOKUP(List!$E49&amp;" "&amp;List!$F49,Table_budget,MATCH(VLOOKUP("Drilled",Zone_Traduction,ref_langue,FALSE),Colonnes_table_budget,FALSE),FALSE),0)
   +IF(ISERROR(VLOOKUP(BJ39&amp;" "&amp;$G39,Table_armes_tir,2,FALSE)),0,VLOOKUP(BJ39&amp;" "&amp;$G39,Table_armes_tir,2,FALSE))
   +IF(ISERROR(VLOOKUP(BJ39&amp;" "&amp;$I39,Table_armes_melee,2,FALSE)),0,VLOOKUP(BJ39&amp;" "&amp;$I39,Table_armes_melee,2,FALSE))
   +IF(ISERROR(VLOOKUP($J41,Table_special,2,FALSE)),0,VLOOKUP($J41,Table_special,2,FALSE))</f>
        <v>0</v>
      </c>
      <c r="BL39" s="54">
        <f ca="1">List!$M49*List!$L49</f>
        <v>0</v>
      </c>
      <c r="BM39" s="53"/>
      <c r="BN39" s="54">
        <f>IF(OR(List!$E49="CV",List!$E49="LH",List!$E49="LCH"),List!$L49,0)</f>
        <v>0</v>
      </c>
    </row>
    <row r="40" spans="1:66" ht="12.75" customHeight="1" x14ac:dyDescent="0.25">
      <c r="B40" s="216"/>
      <c r="C40" s="60"/>
      <c r="D40" s="60"/>
      <c r="E40" s="60"/>
      <c r="F40" s="60"/>
      <c r="G40" s="60"/>
      <c r="H40" s="60"/>
      <c r="J40" s="214"/>
      <c r="K40" s="215"/>
      <c r="M40" s="205">
        <v>20</v>
      </c>
      <c r="N40" s="209" t="s">
        <v>94</v>
      </c>
      <c r="Q40" s="58" t="str">
        <f ca="1">Q28</f>
        <v>Heavily Armoured</v>
      </c>
      <c r="R40" s="124" t="str">
        <f ca="1">T28</f>
        <v>Bw*</v>
      </c>
      <c r="AF40" s="128">
        <v>14</v>
      </c>
      <c r="AG40" s="58">
        <v>1</v>
      </c>
      <c r="AH40" s="58">
        <v>1</v>
      </c>
      <c r="AI40" s="58">
        <v>2</v>
      </c>
      <c r="AJ40" s="58">
        <v>3</v>
      </c>
      <c r="AK40" s="58">
        <v>3</v>
      </c>
      <c r="AL40" s="58">
        <v>4</v>
      </c>
      <c r="AM40" s="58">
        <v>5</v>
      </c>
      <c r="AN40" s="58">
        <v>5</v>
      </c>
      <c r="AO40" s="58">
        <v>6</v>
      </c>
      <c r="AP40" s="58">
        <v>7</v>
      </c>
      <c r="AQ40" s="58">
        <v>7</v>
      </c>
      <c r="AR40" s="58">
        <v>8</v>
      </c>
      <c r="AS40" s="58">
        <v>9</v>
      </c>
      <c r="AT40" s="58">
        <f t="shared" si="9"/>
        <v>10</v>
      </c>
      <c r="AU40" s="58">
        <f t="shared" si="9"/>
        <v>0</v>
      </c>
      <c r="BI40" s="54">
        <f>IF(List!P50="-",0,IF(OR(List!E50="LH",List!E50="LF"),0.5,IF(List!E50="SCh",0,1)))</f>
        <v>0</v>
      </c>
      <c r="BJ40" s="54" t="str">
        <f>IF(OR(List!$E50="HF",List!$E50="MF",List!$E50="LF"),"infanterie",IF(OR(List!$E50="Kn",List!$E50="Ct",List!$E50="Cv",List!$E50="LH",List!$E50="LCh",List!$E50="HCh",List!$E50="SCh",List!$E50="EL"),"montes",IF(OR(List!$E50="BWG"),"BWG","special")))</f>
        <v>special</v>
      </c>
      <c r="BK40" s="54">
        <f ca="1">VLOOKUP(List!$E50&amp;" "&amp;List!$F50,Table_budget,MATCH(List!$G50,Colonnes_table_budget,FALSE),FALSE)
   +IF(List!$H50=VLOOKUP("Drilled",Zone_Traduction,ref_langue,FALSE),VLOOKUP(List!$E50&amp;" "&amp;List!$F50,Table_budget,MATCH(VLOOKUP("Drilled",Zone_Traduction,ref_langue,FALSE),Colonnes_table_budget,FALSE),FALSE),0)
   +IF(ISERROR(VLOOKUP(BJ40&amp;" "&amp;$G40,Table_armes_tir,2,FALSE)),0,VLOOKUP(BJ40&amp;" "&amp;$G40,Table_armes_tir,2,FALSE))
   +IF(ISERROR(VLOOKUP(BJ40&amp;" "&amp;$I40,Table_armes_melee,2,FALSE)),0,VLOOKUP(BJ40&amp;" "&amp;$I40,Table_armes_melee,2,FALSE))
   +IF(ISERROR(VLOOKUP($J42,Table_special,2,FALSE)),0,VLOOKUP($J42,Table_special,2,FALSE))</f>
        <v>0</v>
      </c>
      <c r="BL40" s="54">
        <f ca="1">List!$M50*List!$L50</f>
        <v>0</v>
      </c>
      <c r="BM40" s="53"/>
      <c r="BN40" s="54">
        <f>IF(OR(List!$E50="CV",List!$E50="LH",List!$E50="LCH"),List!$L50,0)</f>
        <v>0</v>
      </c>
    </row>
    <row r="41" spans="1:66" ht="12.75" customHeight="1" x14ac:dyDescent="0.25">
      <c r="B41" s="216"/>
      <c r="C41" s="60"/>
      <c r="D41" s="60"/>
      <c r="E41" s="60"/>
      <c r="F41" s="60"/>
      <c r="G41" s="60"/>
      <c r="H41" s="60"/>
      <c r="J41" s="214"/>
      <c r="K41" s="215"/>
      <c r="M41" s="205">
        <v>21</v>
      </c>
      <c r="N41" s="209" t="s">
        <v>95</v>
      </c>
      <c r="Q41" s="58" t="s">
        <v>30</v>
      </c>
      <c r="R41" s="124" t="str">
        <f ca="1">T34</f>
        <v>Longbow</v>
      </c>
      <c r="AF41" s="128">
        <v>15</v>
      </c>
      <c r="AG41" s="58">
        <v>1</v>
      </c>
      <c r="AH41" s="58">
        <v>1</v>
      </c>
      <c r="AI41" s="58">
        <v>2</v>
      </c>
      <c r="AJ41" s="58">
        <v>2</v>
      </c>
      <c r="AK41" s="58">
        <v>3</v>
      </c>
      <c r="AL41" s="58">
        <v>4</v>
      </c>
      <c r="AM41" s="58">
        <v>4</v>
      </c>
      <c r="AN41" s="58">
        <v>5</v>
      </c>
      <c r="AO41" s="58">
        <v>6</v>
      </c>
      <c r="AP41" s="58">
        <v>6</v>
      </c>
      <c r="AQ41" s="58">
        <v>7</v>
      </c>
      <c r="AR41" s="58">
        <v>8</v>
      </c>
      <c r="AS41" s="58">
        <v>8</v>
      </c>
      <c r="AT41" s="58">
        <v>9</v>
      </c>
      <c r="AU41" s="58">
        <f>ROUNDUP(AU17,0)</f>
        <v>10</v>
      </c>
      <c r="AV41" s="58">
        <f>ROUNDUP(AV17,0)</f>
        <v>0</v>
      </c>
      <c r="BI41" s="54">
        <f>IF(List!P51="-",0,IF(OR(List!E51="LH",List!E51="LF"),0.5,IF(List!E51="SCh",0,1)))</f>
        <v>0</v>
      </c>
      <c r="BJ41" s="54" t="str">
        <f>IF(OR(List!$E51="HF",List!$E51="MF",List!$E51="LF"),"infanterie",IF(OR(List!$E51="Kn",List!$E51="Ct",List!$E51="Cv",List!$E51="LH",List!$E51="LCh",List!$E51="HCh",List!$E51="SCh",List!$E51="EL"),"montes",IF(OR(List!$E51="BWG"),"BWG","special")))</f>
        <v>special</v>
      </c>
      <c r="BK41" s="54">
        <f ca="1">VLOOKUP(List!$E51&amp;" "&amp;List!$F51,Table_budget,MATCH(List!$G51,Colonnes_table_budget,FALSE),FALSE)
   +IF(List!$H51=VLOOKUP("Drilled",Zone_Traduction,ref_langue,FALSE),VLOOKUP(List!$E51&amp;" "&amp;List!$F51,Table_budget,MATCH(VLOOKUP("Drilled",Zone_Traduction,ref_langue,FALSE),Colonnes_table_budget,FALSE),FALSE),0)
   +IF(ISERROR(VLOOKUP(BJ41&amp;" "&amp;$G41,Table_armes_tir,2,FALSE)),0,VLOOKUP(BJ41&amp;" "&amp;$G41,Table_armes_tir,2,FALSE))
   +IF(ISERROR(VLOOKUP(BJ41&amp;" "&amp;$I41,Table_armes_melee,2,FALSE)),0,VLOOKUP(BJ41&amp;" "&amp;$I41,Table_armes_melee,2,FALSE))
   +IF(ISERROR(VLOOKUP($J43,Table_special,2,FALSE)),0,VLOOKUP($J43,Table_special,2,FALSE))</f>
        <v>0</v>
      </c>
      <c r="BL41" s="54">
        <f ca="1">List!$M51*List!$L51</f>
        <v>0</v>
      </c>
      <c r="BM41" s="53"/>
      <c r="BN41" s="54">
        <f>IF(OR(List!$E51="CV",List!$E51="LH",List!$E51="LCH"),List!$L51,0)</f>
        <v>0</v>
      </c>
    </row>
    <row r="42" spans="1:66" ht="12.75" customHeight="1" x14ac:dyDescent="0.25">
      <c r="B42" s="216"/>
      <c r="C42" s="60"/>
      <c r="D42" s="60"/>
      <c r="E42" s="60"/>
      <c r="F42" s="60"/>
      <c r="G42" s="60"/>
      <c r="H42" s="60"/>
      <c r="J42" s="214"/>
      <c r="K42" s="215"/>
      <c r="M42" s="205">
        <v>22</v>
      </c>
      <c r="N42" s="209" t="s">
        <v>96</v>
      </c>
      <c r="Q42" s="58" t="s">
        <v>854</v>
      </c>
      <c r="R42" s="124" t="str">
        <f ca="1">T29</f>
        <v>Crossbow</v>
      </c>
      <c r="AF42" s="128">
        <v>16</v>
      </c>
      <c r="AG42" s="58">
        <v>1</v>
      </c>
      <c r="AH42" s="58">
        <v>1</v>
      </c>
      <c r="AI42" s="58">
        <v>2</v>
      </c>
      <c r="AJ42" s="58">
        <v>2</v>
      </c>
      <c r="AK42" s="58">
        <v>3</v>
      </c>
      <c r="AL42" s="58">
        <v>3</v>
      </c>
      <c r="AM42" s="58">
        <v>4</v>
      </c>
      <c r="AN42" s="58">
        <v>5</v>
      </c>
      <c r="AO42" s="58">
        <v>5</v>
      </c>
      <c r="AP42" s="58">
        <v>6</v>
      </c>
      <c r="AQ42" s="58">
        <v>6</v>
      </c>
      <c r="AR42" s="58">
        <v>7</v>
      </c>
      <c r="AS42" s="58">
        <v>8</v>
      </c>
      <c r="AT42" s="58">
        <v>8</v>
      </c>
      <c r="AU42" s="58">
        <v>9</v>
      </c>
      <c r="AV42" s="58">
        <f>ROUNDUP(AV18,0)</f>
        <v>10</v>
      </c>
      <c r="AW42" s="58">
        <f>ROUNDUP(AW18,0)</f>
        <v>0</v>
      </c>
      <c r="BI42" s="54">
        <f>IF(List!P52="-",0,IF(OR(List!E52="LH",List!E52="LF"),0.5,IF(List!E52="SCh",0,1)))</f>
        <v>0</v>
      </c>
      <c r="BJ42" s="54" t="str">
        <f>IF(OR(List!$E52="HF",List!$E52="MF",List!$E52="LF"),"infanterie",IF(OR(List!$E52="Kn",List!$E52="Ct",List!$E52="Cv",List!$E52="LH",List!$E52="LCh",List!$E52="HCh",List!$E52="SCh",List!$E52="EL"),"montes",IF(OR(List!$E52="BWG"),"BWG","special")))</f>
        <v>special</v>
      </c>
      <c r="BK42" s="54">
        <f ca="1">VLOOKUP(List!$E52&amp;" "&amp;List!$F52,Table_budget,MATCH(List!$G52,Colonnes_table_budget,FALSE),FALSE)
   +IF(List!$H52=VLOOKUP("Drilled",Zone_Traduction,ref_langue,FALSE),VLOOKUP(List!$E52&amp;" "&amp;List!$F52,Table_budget,MATCH(VLOOKUP("Drilled",Zone_Traduction,ref_langue,FALSE),Colonnes_table_budget,FALSE),FALSE),0)
   +IF(ISERROR(VLOOKUP(BJ42&amp;" "&amp;$G42,Table_armes_tir,2,FALSE)),0,VLOOKUP(BJ42&amp;" "&amp;$G42,Table_armes_tir,2,FALSE))
   +IF(ISERROR(VLOOKUP(BJ42&amp;" "&amp;$I42,Table_armes_melee,2,FALSE)),0,VLOOKUP(BJ42&amp;" "&amp;$I42,Table_armes_melee,2,FALSE))
   +IF(ISERROR(VLOOKUP($J44,Table_special,2,FALSE)),0,VLOOKUP($J44,Table_special,2,FALSE))</f>
        <v>0</v>
      </c>
      <c r="BL42" s="54">
        <f ca="1">List!$M52*List!$L52</f>
        <v>0</v>
      </c>
      <c r="BM42" s="53"/>
      <c r="BN42" s="54">
        <f>IF(OR(List!$E52="CV",List!$E52="LH",List!$E52="LCH"),List!$L52,0)</f>
        <v>0</v>
      </c>
    </row>
    <row r="43" spans="1:66" ht="12.75" customHeight="1" x14ac:dyDescent="0.25">
      <c r="M43" s="218">
        <v>23</v>
      </c>
      <c r="N43" s="219" t="s">
        <v>97</v>
      </c>
      <c r="Q43" s="58" t="str">
        <f ca="1">Q29</f>
        <v>Armoured</v>
      </c>
      <c r="R43" s="124" t="str">
        <f ca="1">T31</f>
        <v>Javelins</v>
      </c>
      <c r="AF43" s="128">
        <v>17</v>
      </c>
      <c r="AG43" s="58">
        <v>1</v>
      </c>
      <c r="AH43" s="58">
        <v>1</v>
      </c>
      <c r="AI43" s="58">
        <v>2</v>
      </c>
      <c r="AJ43" s="58">
        <v>2</v>
      </c>
      <c r="AK43" s="58">
        <v>3</v>
      </c>
      <c r="AL43" s="58">
        <v>3</v>
      </c>
      <c r="AM43" s="58">
        <v>4</v>
      </c>
      <c r="AN43" s="58">
        <v>4</v>
      </c>
      <c r="AO43" s="58">
        <v>5</v>
      </c>
      <c r="AP43" s="58">
        <v>6</v>
      </c>
      <c r="AQ43" s="58">
        <v>6</v>
      </c>
      <c r="AR43" s="58">
        <v>7</v>
      </c>
      <c r="AS43" s="58">
        <v>7</v>
      </c>
      <c r="AT43" s="58">
        <v>8</v>
      </c>
      <c r="AU43" s="58">
        <v>8</v>
      </c>
      <c r="AV43" s="58">
        <v>9</v>
      </c>
      <c r="AW43" s="58">
        <f>ROUNDUP(AW19,0)</f>
        <v>10</v>
      </c>
      <c r="AX43" s="58">
        <f>ROUNDUP(AX19,0)</f>
        <v>0</v>
      </c>
      <c r="BI43" s="54">
        <f>IF(List!P53="-",0,IF(OR(List!E53="LH",List!E53="LF"),0.5,IF(List!E53="SCh",0,1)))</f>
        <v>0</v>
      </c>
      <c r="BJ43" s="54" t="str">
        <f>IF(OR(List!$E53="HF",List!$E53="MF",List!$E53="LF"),"infanterie",IF(OR(List!$E53="Kn",List!$E53="Ct",List!$E53="Cv",List!$E53="LH",List!$E53="LCh",List!$E53="HCh",List!$E53="SCh",List!$E53="EL"),"montes",IF(OR(List!$E53="BWG"),"BWG","special")))</f>
        <v>special</v>
      </c>
      <c r="BK43" s="54">
        <f ca="1">VLOOKUP(List!$E53&amp;" "&amp;List!$F53,Table_budget,MATCH(List!$G53,Colonnes_table_budget,FALSE),FALSE)
   +IF(List!$H53=VLOOKUP("Drilled",Zone_Traduction,ref_langue,FALSE),VLOOKUP(List!$E53&amp;" "&amp;List!$F53,Table_budget,MATCH(VLOOKUP("Drilled",Zone_Traduction,ref_langue,FALSE),Colonnes_table_budget,FALSE),FALSE),0)
   +IF(ISERROR(VLOOKUP(BJ43&amp;" "&amp;$G43,Table_armes_tir,2,FALSE)),0,VLOOKUP(BJ43&amp;" "&amp;$G43,Table_armes_tir,2,FALSE))
   +IF(ISERROR(VLOOKUP(BJ43&amp;" "&amp;$I43,Table_armes_melee,2,FALSE)),0,VLOOKUP(BJ43&amp;" "&amp;$I43,Table_armes_melee,2,FALSE))
   +IF(ISERROR(VLOOKUP($J45,Table_special,2,FALSE)),0,VLOOKUP($J45,Table_special,2,FALSE))</f>
        <v>0</v>
      </c>
      <c r="BL43" s="54">
        <f ca="1">List!$M53*List!$L53</f>
        <v>0</v>
      </c>
      <c r="BM43" s="53"/>
      <c r="BN43" s="54">
        <f>IF(OR(List!$E53="CV",List!$E53="LH",List!$E53="LCH"),List!$L53,0)</f>
        <v>0</v>
      </c>
    </row>
    <row r="44" spans="1:66" ht="12.75" customHeight="1" x14ac:dyDescent="0.25">
      <c r="M44" s="205">
        <v>24</v>
      </c>
      <c r="N44" s="219" t="s">
        <v>330</v>
      </c>
      <c r="Q44" s="58" t="str">
        <f ca="1">Q30</f>
        <v>Protected</v>
      </c>
      <c r="R44" s="124" t="str">
        <f ca="1">T32</f>
        <v>Sling</v>
      </c>
      <c r="AF44" s="128">
        <v>18</v>
      </c>
      <c r="AG44" s="58">
        <v>1</v>
      </c>
      <c r="AH44" s="58">
        <v>1</v>
      </c>
      <c r="AI44" s="58">
        <v>1</v>
      </c>
      <c r="AJ44" s="58">
        <v>2</v>
      </c>
      <c r="AK44" s="58">
        <v>2</v>
      </c>
      <c r="AL44" s="58">
        <v>3</v>
      </c>
      <c r="AM44" s="58">
        <v>4</v>
      </c>
      <c r="AN44" s="58">
        <v>4</v>
      </c>
      <c r="AO44" s="58">
        <v>5</v>
      </c>
      <c r="AP44" s="58">
        <v>5</v>
      </c>
      <c r="AQ44" s="58">
        <v>6</v>
      </c>
      <c r="AR44" s="58">
        <v>6</v>
      </c>
      <c r="AS44" s="58">
        <v>7</v>
      </c>
      <c r="AT44" s="58">
        <v>7</v>
      </c>
      <c r="AU44" s="58">
        <v>8</v>
      </c>
      <c r="AV44" s="58">
        <v>8</v>
      </c>
      <c r="AW44" s="58">
        <v>9</v>
      </c>
      <c r="AX44" s="58">
        <f>ROUNDUP(AX20,0)</f>
        <v>10</v>
      </c>
      <c r="AY44" s="58">
        <f>ROUNDUP(AY20,0)</f>
        <v>0</v>
      </c>
      <c r="BI44" s="54">
        <f>IF(List!P54="-",0,IF(OR(List!E54="LH",List!E54="LF"),0.5,IF(List!E54="SCh",0,1)))</f>
        <v>0</v>
      </c>
      <c r="BJ44" s="54" t="str">
        <f>IF(OR(List!$E54="HF",List!$E54="MF",List!$E54="LF"),"infanterie",IF(OR(List!$E54="Kn",List!$E54="Ct",List!$E54="Cv",List!$E54="LH",List!$E54="LCh",List!$E54="HCh",List!$E54="SCh",List!$E54="EL"),"montes",IF(OR(List!$E54="BWG"),"BWG","special")))</f>
        <v>special</v>
      </c>
      <c r="BK44" s="54">
        <f ca="1">VLOOKUP(List!$E54&amp;" "&amp;List!$F54,Table_budget,MATCH(List!$G54,Colonnes_table_budget,FALSE),FALSE)
   +IF(List!$H54=VLOOKUP("Drilled",Zone_Traduction,ref_langue,FALSE),VLOOKUP(List!$E54&amp;" "&amp;List!$F54,Table_budget,MATCH(VLOOKUP("Drilled",Zone_Traduction,ref_langue,FALSE),Colonnes_table_budget,FALSE),FALSE),0)
   +IF(ISERROR(VLOOKUP(BJ44&amp;" "&amp;$G44,Table_armes_tir,2,FALSE)),0,VLOOKUP(BJ44&amp;" "&amp;$G44,Table_armes_tir,2,FALSE))
   +IF(ISERROR(VLOOKUP(BJ44&amp;" "&amp;$I44,Table_armes_melee,2,FALSE)),0,VLOOKUP(BJ44&amp;" "&amp;$I44,Table_armes_melee,2,FALSE))
   +IF(ISERROR(VLOOKUP($J46,Table_special,2,FALSE)),0,VLOOKUP($J46,Table_special,2,FALSE))</f>
        <v>0</v>
      </c>
      <c r="BL44" s="54">
        <f ca="1">List!$M54*List!$L54</f>
        <v>0</v>
      </c>
      <c r="BM44" s="53"/>
      <c r="BN44" s="54">
        <f>IF(OR(List!$E54="CV",List!$E54="LH",List!$E54="LCH"),List!$L54,0)</f>
        <v>0</v>
      </c>
    </row>
    <row r="45" spans="1:66" ht="12.75" customHeight="1" x14ac:dyDescent="0.3">
      <c r="M45" s="218">
        <v>25</v>
      </c>
      <c r="N45" s="220" t="s">
        <v>331</v>
      </c>
      <c r="Q45" s="58" t="str">
        <f ca="1">Q31</f>
        <v>Unprotected</v>
      </c>
      <c r="R45" s="124" t="str">
        <f ca="1">T30</f>
        <v>Firearm</v>
      </c>
      <c r="T45" s="272" t="s">
        <v>896</v>
      </c>
      <c r="AF45" s="128">
        <v>19</v>
      </c>
      <c r="AG45" s="58">
        <v>1</v>
      </c>
      <c r="AH45" s="58">
        <v>1</v>
      </c>
      <c r="AI45" s="58">
        <v>1</v>
      </c>
      <c r="AJ45" s="58">
        <v>2</v>
      </c>
      <c r="AK45" s="58">
        <v>2</v>
      </c>
      <c r="AL45" s="58">
        <v>3</v>
      </c>
      <c r="AM45" s="58">
        <v>3</v>
      </c>
      <c r="AN45" s="58">
        <v>4</v>
      </c>
      <c r="AO45" s="58">
        <v>4</v>
      </c>
      <c r="AP45" s="58">
        <v>5</v>
      </c>
      <c r="AQ45" s="58">
        <v>5</v>
      </c>
      <c r="AR45" s="58">
        <v>6</v>
      </c>
      <c r="AS45" s="58">
        <v>6</v>
      </c>
      <c r="AT45" s="58">
        <v>7</v>
      </c>
      <c r="AU45" s="58">
        <v>7</v>
      </c>
      <c r="AV45" s="58">
        <v>8</v>
      </c>
      <c r="AW45" s="58">
        <v>8</v>
      </c>
      <c r="AX45" s="58">
        <v>9</v>
      </c>
      <c r="AY45" s="58">
        <f>ROUNDUP(AY21,0)</f>
        <v>10</v>
      </c>
      <c r="AZ45" s="58">
        <f>ROUNDUP(AZ21,0)</f>
        <v>0</v>
      </c>
      <c r="BI45" s="54">
        <f>IF(List!P55="-",0,IF(OR(List!E55="LH",List!E55="LF"),0.5,IF(List!E55="SCh",0,1)))</f>
        <v>0</v>
      </c>
      <c r="BJ45" s="54" t="str">
        <f>IF(OR(List!$E55="HF",List!$E55="MF",List!$E55="LF"),"infanterie",IF(OR(List!$E55="Kn",List!$E55="Ct",List!$E55="Cv",List!$E55="LH",List!$E55="LCh",List!$E55="HCh",List!$E55="SCh",List!$E55="EL"),"montes",IF(OR(List!$E55="BWG"),"BWG","special")))</f>
        <v>special</v>
      </c>
      <c r="BK45" s="54">
        <f ca="1">VLOOKUP(List!$E55&amp;" "&amp;List!$F55,Table_budget,MATCH(List!$G55,Colonnes_table_budget,FALSE),FALSE)
   +IF(List!$H55=VLOOKUP("Drilled",Zone_Traduction,ref_langue,FALSE),VLOOKUP(List!$E55&amp;" "&amp;List!$F55,Table_budget,MATCH(VLOOKUP("Drilled",Zone_Traduction,ref_langue,FALSE),Colonnes_table_budget,FALSE),FALSE),0)
   +IF(ISERROR(VLOOKUP(BJ45&amp;" "&amp;$G45,Table_armes_tir,2,FALSE)),0,VLOOKUP(BJ45&amp;" "&amp;$G45,Table_armes_tir,2,FALSE))
   +IF(ISERROR(VLOOKUP(BJ45&amp;" "&amp;$I45,Table_armes_melee,2,FALSE)),0,VLOOKUP(BJ45&amp;" "&amp;$I45,Table_armes_melee,2,FALSE))
   +IF(ISERROR(VLOOKUP($J47,Table_special,2,FALSE)),0,VLOOKUP($J47,Table_special,2,FALSE))</f>
        <v>0</v>
      </c>
      <c r="BL45" s="54">
        <f ca="1">List!$M55*List!$L55</f>
        <v>0</v>
      </c>
      <c r="BM45" s="53"/>
      <c r="BN45" s="54">
        <f>IF(OR(List!$E55="CV",List!$E55="LH",List!$E55="LCH"),List!$L55,0)</f>
        <v>0</v>
      </c>
    </row>
    <row r="46" spans="1:66" ht="12.75" customHeight="1" x14ac:dyDescent="0.25">
      <c r="M46" s="205">
        <v>26</v>
      </c>
      <c r="N46" s="220" t="s">
        <v>332</v>
      </c>
      <c r="Q46" s="58" t="s">
        <v>30</v>
      </c>
      <c r="R46" s="124" t="s">
        <v>30</v>
      </c>
      <c r="T46" s="124" t="str">
        <f ca="1">VLOOKUP("Lancer Swordsmen",Zone_Traduction,ref_langue,FALSE)</f>
        <v>Lancer Swordsmen</v>
      </c>
      <c r="AF46" s="128">
        <v>20</v>
      </c>
      <c r="AG46" s="58">
        <v>1</v>
      </c>
      <c r="AH46" s="58">
        <v>1</v>
      </c>
      <c r="AI46" s="58">
        <v>1</v>
      </c>
      <c r="AJ46" s="58">
        <v>2</v>
      </c>
      <c r="AK46" s="58">
        <v>2</v>
      </c>
      <c r="AL46" s="58">
        <v>3</v>
      </c>
      <c r="AM46" s="58">
        <v>3</v>
      </c>
      <c r="AN46" s="58">
        <v>4</v>
      </c>
      <c r="AO46" s="58">
        <v>4</v>
      </c>
      <c r="AP46" s="58">
        <v>5</v>
      </c>
      <c r="AQ46" s="58">
        <v>5</v>
      </c>
      <c r="AR46" s="58">
        <v>6</v>
      </c>
      <c r="AS46" s="58">
        <v>6</v>
      </c>
      <c r="AT46" s="58">
        <v>7</v>
      </c>
      <c r="AU46" s="58">
        <v>7</v>
      </c>
      <c r="AV46" s="58">
        <v>8</v>
      </c>
      <c r="AW46" s="58">
        <v>8</v>
      </c>
      <c r="AX46" s="58">
        <v>9</v>
      </c>
      <c r="AY46" s="58">
        <v>9</v>
      </c>
      <c r="AZ46" s="58">
        <f>ROUNDUP(AZ22,0)</f>
        <v>10</v>
      </c>
      <c r="BA46" s="58">
        <f>ROUNDUP(BA22,0)</f>
        <v>0</v>
      </c>
      <c r="BB46" s="58">
        <f>ROUNDUP(BB22,0)</f>
        <v>0</v>
      </c>
      <c r="BI46" s="54">
        <f>IF(List!P56="-",0,IF(OR(List!E56="LH",List!E56="LF"),0.5,IF(List!E56="SCh",0,1)))</f>
        <v>0</v>
      </c>
      <c r="BJ46" s="54" t="str">
        <f>IF(OR(List!$E56="HF",List!$E56="MF",List!$E56="LF"),"infanterie",IF(OR(List!$E56="Kn",List!$E56="Ct",List!$E56="Cv",List!$E56="LH",List!$E56="LCh",List!$E56="HCh",List!$E56="SCh",List!$E56="EL"),"montes",IF(OR(List!$E56="BWG"),"BWG","special")))</f>
        <v>special</v>
      </c>
      <c r="BK46" s="54">
        <f ca="1">VLOOKUP(List!$E56&amp;" "&amp;List!$F56,Table_budget,MATCH(List!$G56,Colonnes_table_budget,FALSE),FALSE)
   +IF(List!$H56=VLOOKUP("Drilled",Zone_Traduction,ref_langue,FALSE),VLOOKUP(List!$E56&amp;" "&amp;List!$F56,Table_budget,MATCH(VLOOKUP("Drilled",Zone_Traduction,ref_langue,FALSE),Colonnes_table_budget,FALSE),FALSE),0)
   +IF(ISERROR(VLOOKUP(BJ46&amp;" "&amp;$G46,Table_armes_tir,2,FALSE)),0,VLOOKUP(BJ46&amp;" "&amp;$G46,Table_armes_tir,2,FALSE))
   +IF(ISERROR(VLOOKUP(BJ46&amp;" "&amp;$I46,Table_armes_melee,2,FALSE)),0,VLOOKUP(BJ46&amp;" "&amp;$I46,Table_armes_melee,2,FALSE))
   +IF(ISERROR(VLOOKUP($J48,Table_special,2,FALSE)),0,VLOOKUP($J48,Table_special,2,FALSE))</f>
        <v>0</v>
      </c>
      <c r="BL46" s="54">
        <f ca="1">List!$M56*List!$L56</f>
        <v>0</v>
      </c>
      <c r="BM46" s="53"/>
      <c r="BN46" s="54">
        <f>IF(OR(List!$E56="CV",List!$E56="LH",List!$E56="LCH"),List!$L56,0)</f>
        <v>0</v>
      </c>
    </row>
    <row r="47" spans="1:66" ht="12.75" customHeight="1" x14ac:dyDescent="0.25">
      <c r="J47" s="221" t="s">
        <v>76</v>
      </c>
      <c r="K47" s="136"/>
      <c r="M47" s="218">
        <v>27</v>
      </c>
      <c r="N47" s="220" t="s">
        <v>333</v>
      </c>
      <c r="T47" s="124" t="str">
        <f ca="1">VLOOKUP("Light Spear Swordsmen",Zone_Traduction,ref_langue,FALSE)</f>
        <v>Light spear Swordsmen</v>
      </c>
      <c r="AF47" s="128">
        <v>21</v>
      </c>
      <c r="AG47" s="58">
        <v>1</v>
      </c>
      <c r="AH47" s="58">
        <v>1</v>
      </c>
      <c r="AI47" s="58">
        <v>1</v>
      </c>
      <c r="AJ47" s="58">
        <v>2</v>
      </c>
      <c r="AK47" s="58">
        <v>2</v>
      </c>
      <c r="AL47" s="58">
        <v>3</v>
      </c>
      <c r="AM47" s="58">
        <v>3</v>
      </c>
      <c r="AN47" s="58">
        <v>3</v>
      </c>
      <c r="AO47" s="58">
        <v>4</v>
      </c>
      <c r="AP47" s="58">
        <v>4</v>
      </c>
      <c r="AQ47" s="58">
        <v>5</v>
      </c>
      <c r="AR47" s="58">
        <v>5</v>
      </c>
      <c r="AS47" s="58">
        <v>6</v>
      </c>
      <c r="AT47" s="58">
        <v>6</v>
      </c>
      <c r="AU47" s="58">
        <v>7</v>
      </c>
      <c r="AV47" s="58">
        <v>7</v>
      </c>
      <c r="AW47" s="58">
        <v>8</v>
      </c>
      <c r="AX47" s="58">
        <v>8</v>
      </c>
      <c r="AY47" s="58">
        <v>9</v>
      </c>
      <c r="AZ47" s="58">
        <v>9</v>
      </c>
      <c r="BA47" s="58">
        <f>ROUNDUP(BA23,0)</f>
        <v>10</v>
      </c>
      <c r="BB47" s="58">
        <f>ROUNDUP(BB23,0)</f>
        <v>0</v>
      </c>
      <c r="BI47" s="54">
        <f>IF(List!P57="-",0,IF(OR(List!E57="LH",List!E57="LF"),0.5,IF(List!E57="SCh",0,1)))</f>
        <v>0</v>
      </c>
      <c r="BJ47" s="54" t="str">
        <f>IF(OR(List!$E57="HF",List!$E57="MF",List!$E57="LF"),"infanterie",IF(OR(List!$E57="Kn",List!$E57="Ct",List!$E57="Cv",List!$E57="LH",List!$E57="LCh",List!$E57="HCh",List!$E57="SCh",List!$E57="EL"),"montes",IF(OR(List!$E57="BWG"),"BWG","special")))</f>
        <v>special</v>
      </c>
      <c r="BK47" s="54">
        <f ca="1">VLOOKUP(List!$E57&amp;" "&amp;List!$F57,Table_budget,MATCH(List!$G57,Colonnes_table_budget,FALSE),FALSE)
   +IF(List!$H57=VLOOKUP("Drilled",Zone_Traduction,ref_langue,FALSE),VLOOKUP(List!$E57&amp;" "&amp;List!$F57,Table_budget,MATCH(VLOOKUP("Drilled",Zone_Traduction,ref_langue,FALSE),Colonnes_table_budget,FALSE),FALSE),0)
   +IF(ISERROR(VLOOKUP(BJ47&amp;" "&amp;$G47,Table_armes_tir,2,FALSE)),0,VLOOKUP(BJ47&amp;" "&amp;$G47,Table_armes_tir,2,FALSE))
   +IF(ISERROR(VLOOKUP(BJ47&amp;" "&amp;$I47,Table_armes_melee,2,FALSE)),0,VLOOKUP(BJ47&amp;" "&amp;$I47,Table_armes_melee,2,FALSE))
   +IF(ISERROR(VLOOKUP($J49,Table_special,2,FALSE)),0,VLOOKUP($J49,Table_special,2,FALSE))</f>
        <v>0</v>
      </c>
      <c r="BL47" s="54">
        <f ca="1">List!$M57*List!$L57</f>
        <v>0</v>
      </c>
      <c r="BM47" s="53"/>
      <c r="BN47" s="54">
        <f>IF(OR(List!$E57="CV",List!$E57="LH",List!$E57="LCH"),List!$L57,0)</f>
        <v>0</v>
      </c>
    </row>
    <row r="48" spans="1:66" ht="12.75" customHeight="1" x14ac:dyDescent="0.25">
      <c r="J48" s="222" t="s">
        <v>30</v>
      </c>
      <c r="K48" s="141">
        <v>0</v>
      </c>
      <c r="M48" s="205">
        <v>28</v>
      </c>
      <c r="N48" s="220" t="s">
        <v>334</v>
      </c>
      <c r="Q48" s="58" t="s">
        <v>855</v>
      </c>
      <c r="R48" s="217" t="s">
        <v>866</v>
      </c>
      <c r="T48" s="124" t="str">
        <f ca="1">VLOOKUP("Lancer",Zone_Traduction,ref_langue,FALSE)</f>
        <v>Lancer</v>
      </c>
      <c r="AE48" s="54" t="s">
        <v>249</v>
      </c>
      <c r="AF48" s="223" t="s">
        <v>250</v>
      </c>
      <c r="AG48" s="58">
        <v>1</v>
      </c>
      <c r="AH48" s="58">
        <v>1</v>
      </c>
      <c r="AI48" s="58">
        <v>1</v>
      </c>
      <c r="AJ48" s="58">
        <v>2</v>
      </c>
      <c r="AK48" s="58">
        <v>2</v>
      </c>
      <c r="AL48" s="58">
        <v>2</v>
      </c>
      <c r="AM48" s="58">
        <v>3</v>
      </c>
      <c r="AN48" s="58">
        <v>3</v>
      </c>
      <c r="AO48" s="58">
        <v>4</v>
      </c>
      <c r="AP48" s="58">
        <v>4</v>
      </c>
      <c r="AQ48" s="58">
        <v>5</v>
      </c>
      <c r="AR48" s="58">
        <v>5</v>
      </c>
      <c r="AS48" s="58">
        <v>6</v>
      </c>
      <c r="AT48" s="58">
        <v>6</v>
      </c>
      <c r="AU48" s="58">
        <v>6</v>
      </c>
      <c r="AV48" s="58">
        <v>7</v>
      </c>
      <c r="AW48" s="58">
        <v>7</v>
      </c>
      <c r="AX48" s="58">
        <v>8</v>
      </c>
      <c r="AY48" s="58">
        <v>8</v>
      </c>
      <c r="AZ48" s="58">
        <v>9</v>
      </c>
      <c r="BA48" s="58">
        <v>9</v>
      </c>
      <c r="BB48" s="58">
        <f>ROUNDUP(BB24,0)</f>
        <v>10</v>
      </c>
      <c r="BC48" s="58">
        <f>ROUNDUP(BC24,0)</f>
        <v>0</v>
      </c>
      <c r="BI48" s="54">
        <f>IF(List!P58="-",0,IF(OR(List!E58="LH",List!E58="LF"),0.5,IF(List!E58="SCh",0,1)))</f>
        <v>0</v>
      </c>
      <c r="BJ48" s="54" t="str">
        <f>IF(OR(List!$E58="HF",List!$E58="MF",List!$E58="LF"),"infanterie",IF(OR(List!$E58="Kn",List!$E58="Ct",List!$E58="Cv",List!$E58="LH",List!$E58="LCh",List!$E58="HCh",List!$E58="SCh",List!$E58="EL"),"montes",IF(OR(List!$E58="BWG"),"BWG","special")))</f>
        <v>special</v>
      </c>
      <c r="BK48" s="54">
        <f ca="1">VLOOKUP(List!$E58&amp;" "&amp;List!$F58,Table_budget,MATCH(List!$G58,Colonnes_table_budget,FALSE),FALSE)
   +IF(List!$H58=VLOOKUP("Drilled",Zone_Traduction,ref_langue,FALSE),VLOOKUP(List!$E58&amp;" "&amp;List!$F58,Table_budget,MATCH(VLOOKUP("Drilled",Zone_Traduction,ref_langue,FALSE),Colonnes_table_budget,FALSE),FALSE),0)
   +IF(ISERROR(VLOOKUP(BJ48&amp;" "&amp;$G48,Table_armes_tir,2,FALSE)),0,VLOOKUP(BJ48&amp;" "&amp;$G48,Table_armes_tir,2,FALSE))
   +IF(ISERROR(VLOOKUP(BJ48&amp;" "&amp;$I48,Table_armes_melee,2,FALSE)),0,VLOOKUP(BJ48&amp;" "&amp;$I48,Table_armes_melee,2,FALSE))
   +IF(ISERROR(VLOOKUP($J50,Table_special,2,FALSE)),0,VLOOKUP($J50,Table_special,2,FALSE))</f>
        <v>0</v>
      </c>
      <c r="BL48" s="54">
        <f ca="1">List!$M58*List!$L58</f>
        <v>0</v>
      </c>
      <c r="BM48" s="53"/>
      <c r="BN48" s="54">
        <f>IF(OR(List!$E58="CV",List!$E58="LH",List!$E58="LCH"),List!$L58,0)</f>
        <v>0</v>
      </c>
    </row>
    <row r="49" spans="2:66" ht="12.75" customHeight="1" x14ac:dyDescent="0.25">
      <c r="J49" s="224" t="s">
        <v>901</v>
      </c>
      <c r="K49" s="141">
        <v>1</v>
      </c>
      <c r="M49" s="218">
        <v>29</v>
      </c>
      <c r="N49" s="220" t="s">
        <v>335</v>
      </c>
      <c r="R49" s="217" t="str">
        <f ca="1">T27</f>
        <v>Bow</v>
      </c>
      <c r="T49" s="124" t="str">
        <f ca="1">VLOOKUP("Light Spear",Zone_Traduction,ref_langue,FALSE)</f>
        <v>Light Spear</v>
      </c>
      <c r="AE49" s="135">
        <v>-1</v>
      </c>
      <c r="AF49" s="225" t="s">
        <v>30</v>
      </c>
      <c r="BI49" s="54">
        <f>IF(List!P59="-",0,IF(OR(List!E59="LH",List!E59="LF"),0.5,IF(List!E59="SCh",0,1)))</f>
        <v>0</v>
      </c>
      <c r="BJ49" s="54" t="str">
        <f>IF(OR(List!$E59="HF",List!$E59="MF",List!$E59="LF"),"infanterie",IF(OR(List!$E59="Kn",List!$E59="Ct",List!$E59="Cv",List!$E59="LH",List!$E59="LCh",List!$E59="HCh",List!$E59="SCh",List!$E59="EL"),"montes",IF(OR(List!$E59="BWG"),"BWG","special")))</f>
        <v>special</v>
      </c>
      <c r="BK49" s="54">
        <f ca="1">VLOOKUP(List!$E59&amp;" "&amp;List!$F59,Table_budget,MATCH(List!$G59,Colonnes_table_budget,FALSE),FALSE)
   +IF(List!$H59=VLOOKUP("Drilled",Zone_Traduction,ref_langue,FALSE),VLOOKUP(List!$E59&amp;" "&amp;List!$F59,Table_budget,MATCH(VLOOKUP("Drilled",Zone_Traduction,ref_langue,FALSE),Colonnes_table_budget,FALSE),FALSE),0)
   +IF(ISERROR(VLOOKUP(BJ49&amp;" "&amp;$G49,Table_armes_tir,2,FALSE)),0,VLOOKUP(BJ49&amp;" "&amp;$G49,Table_armes_tir,2,FALSE))
   +IF(ISERROR(VLOOKUP(BJ49&amp;" "&amp;$I49,Table_armes_melee,2,FALSE)),0,VLOOKUP(BJ49&amp;" "&amp;$I49,Table_armes_melee,2,FALSE))
   +IF(ISERROR(VLOOKUP($J51,Table_special,2,FALSE)),0,VLOOKUP($J51,Table_special,2,FALSE))</f>
        <v>0</v>
      </c>
      <c r="BL49" s="54">
        <f ca="1">List!$M59*List!$L59</f>
        <v>0</v>
      </c>
      <c r="BM49" s="53"/>
      <c r="BN49" s="54">
        <f>IF(OR(List!$E59="CV",List!$E59="LH",List!$E59="LCH"),List!$L59,0)</f>
        <v>0</v>
      </c>
    </row>
    <row r="50" spans="2:66" ht="12.75" customHeight="1" x14ac:dyDescent="0.25">
      <c r="J50" s="224" t="s">
        <v>902</v>
      </c>
      <c r="K50" s="141">
        <v>2</v>
      </c>
      <c r="M50" s="205">
        <v>30</v>
      </c>
      <c r="N50" s="220" t="s">
        <v>336</v>
      </c>
      <c r="Q50" s="58" t="s">
        <v>856</v>
      </c>
      <c r="R50" s="217" t="str">
        <f ca="1">T29</f>
        <v>Crossbow</v>
      </c>
      <c r="T50" s="124" t="str">
        <f ca="1">VLOOKUP("Swordsmen",Zone_Traduction,ref_langue,FALSE)</f>
        <v>Swordsmen</v>
      </c>
      <c r="AE50" s="188">
        <v>0</v>
      </c>
      <c r="AF50" s="226" t="s">
        <v>30</v>
      </c>
      <c r="AG50" s="58">
        <v>1</v>
      </c>
      <c r="AH50" s="58">
        <v>2</v>
      </c>
      <c r="AI50" s="58">
        <v>3</v>
      </c>
      <c r="AJ50" s="58">
        <v>4</v>
      </c>
      <c r="AK50" s="58">
        <v>5</v>
      </c>
      <c r="AL50" s="58">
        <v>6</v>
      </c>
      <c r="AM50" s="58">
        <v>7</v>
      </c>
      <c r="AN50" s="58">
        <v>8</v>
      </c>
      <c r="AO50" s="58">
        <v>9</v>
      </c>
      <c r="AP50" s="58">
        <v>10</v>
      </c>
      <c r="AQ50" s="58">
        <v>11</v>
      </c>
      <c r="AR50" s="58">
        <v>12</v>
      </c>
      <c r="AS50" s="58">
        <v>13</v>
      </c>
      <c r="AT50" s="58">
        <v>14</v>
      </c>
      <c r="AU50" s="58">
        <v>15</v>
      </c>
      <c r="AV50" s="58">
        <v>16</v>
      </c>
      <c r="AW50" s="58">
        <v>17</v>
      </c>
      <c r="AX50" s="58">
        <v>18</v>
      </c>
      <c r="AY50" s="58">
        <v>19</v>
      </c>
      <c r="AZ50" s="58">
        <v>20</v>
      </c>
      <c r="BA50" s="58">
        <v>21</v>
      </c>
      <c r="BB50" s="58">
        <v>22</v>
      </c>
      <c r="BC50" s="58">
        <v>23</v>
      </c>
      <c r="BI50" s="54">
        <f>IF(List!P60="-",0,IF(OR(List!E60="LH",List!E60="LF"),0.5,IF(List!E60="SCh",0,1)))</f>
        <v>0</v>
      </c>
      <c r="BJ50" s="54" t="str">
        <f>IF(OR(List!$E60="HF",List!$E60="MF",List!$E60="LF"),"infanterie",IF(OR(List!$E60="Kn",List!$E60="Ct",List!$E60="Cv",List!$E60="LH",List!$E60="LCh",List!$E60="HCh",List!$E60="SCh",List!$E60="EL"),"montes",IF(OR(List!$E60="BWG"),"BWG","special")))</f>
        <v>special</v>
      </c>
      <c r="BK50" s="54">
        <f ca="1">VLOOKUP(List!$E60&amp;" "&amp;List!$F60,Table_budget,MATCH(List!$G60,Colonnes_table_budget,FALSE),FALSE)
   +IF(List!$H60=VLOOKUP("Drilled",Zone_Traduction,ref_langue,FALSE),VLOOKUP(List!$E60&amp;" "&amp;List!$F60,Table_budget,MATCH(VLOOKUP("Drilled",Zone_Traduction,ref_langue,FALSE),Colonnes_table_budget,FALSE),FALSE),0)
   +IF(ISERROR(VLOOKUP(BJ50&amp;" "&amp;$G50,Table_armes_tir,2,FALSE)),0,VLOOKUP(BJ50&amp;" "&amp;$G50,Table_armes_tir,2,FALSE))
   +IF(ISERROR(VLOOKUP(BJ50&amp;" "&amp;$I50,Table_armes_melee,2,FALSE)),0,VLOOKUP(BJ50&amp;" "&amp;$I50,Table_armes_melee,2,FALSE))
   +IF(ISERROR(VLOOKUP($J52,Table_special,2,FALSE)),0,VLOOKUP($J52,Table_special,2,FALSE))</f>
        <v>0</v>
      </c>
      <c r="BL50" s="54">
        <f ca="1">List!$M60*List!$L60</f>
        <v>0</v>
      </c>
      <c r="BM50" s="53"/>
      <c r="BN50" s="54">
        <f>IF(OR(List!$E60="CV",List!$E60="LH",List!$E60="LCH"),List!$L60,0)</f>
        <v>0</v>
      </c>
    </row>
    <row r="51" spans="2:66" ht="12.75" customHeight="1" x14ac:dyDescent="0.25">
      <c r="J51" s="227" t="s">
        <v>903</v>
      </c>
      <c r="K51" s="228">
        <v>0</v>
      </c>
      <c r="M51" s="218">
        <v>31</v>
      </c>
      <c r="N51" s="220" t="s">
        <v>337</v>
      </c>
      <c r="Q51" s="58" t="str">
        <f ca="1">Q66</f>
        <v>Superior</v>
      </c>
      <c r="R51" s="217" t="str">
        <f ca="1">T33</f>
        <v>Light Artillery</v>
      </c>
      <c r="T51" s="124" t="str">
        <f ca="1">VLOOKUP("Defensive Spearmen",Zone_Traduction,ref_langue,FALSE)</f>
        <v>Defensive Spearmen</v>
      </c>
      <c r="AE51" s="188">
        <v>1</v>
      </c>
      <c r="AF51" s="226" t="s">
        <v>30</v>
      </c>
      <c r="AG51" s="229" t="s">
        <v>30</v>
      </c>
      <c r="BI51" s="54">
        <f>IF(List!P61="-",0,IF(OR(List!E61="LH",List!E61="LF"),0.5,IF(List!E61="SCh",0,1)))</f>
        <v>0</v>
      </c>
      <c r="BJ51" s="54" t="str">
        <f>IF(OR(List!$E61="HF",List!$E61="MF",List!$E61="LF"),"infanterie",IF(OR(List!$E61="Kn",List!$E61="Ct",List!$E61="Cv",List!$E61="LH",List!$E61="LCh",List!$E61="HCh",List!$E61="SCh",List!$E61="EL"),"montes",IF(OR(List!$E61="BWG"),"BWG","special")))</f>
        <v>special</v>
      </c>
      <c r="BK51" s="54">
        <f ca="1">VLOOKUP(List!$E61&amp;" "&amp;List!$F61,Table_budget,MATCH(List!$G61,Colonnes_table_budget,FALSE),FALSE)
   +IF(List!$H61=VLOOKUP("Drilled",Zone_Traduction,ref_langue,FALSE),VLOOKUP(List!$E61&amp;" "&amp;List!$F61,Table_budget,MATCH(VLOOKUP("Drilled",Zone_Traduction,ref_langue,FALSE),Colonnes_table_budget,FALSE),FALSE),0)
   +IF(ISERROR(VLOOKUP(BJ51&amp;" "&amp;$G51,Table_armes_tir,2,FALSE)),0,VLOOKUP(BJ51&amp;" "&amp;$G51,Table_armes_tir,2,FALSE))
   +IF(ISERROR(VLOOKUP(BJ51&amp;" "&amp;$I51,Table_armes_melee,2,FALSE)),0,VLOOKUP(BJ51&amp;" "&amp;$I51,Table_armes_melee,2,FALSE))
   +IF(ISERROR(VLOOKUP($J53,Table_special,2,FALSE)),0,VLOOKUP($J53,Table_special,2,FALSE))</f>
        <v>0</v>
      </c>
      <c r="BL51" s="54">
        <f ca="1">List!$M61*List!$L61</f>
        <v>0</v>
      </c>
      <c r="BM51" s="53"/>
      <c r="BN51" s="54">
        <f>IF(OR(List!$E61="CV",List!$E61="LH",List!$E61="LCH"),List!$L61,0)</f>
        <v>0</v>
      </c>
    </row>
    <row r="52" spans="2:66" ht="12.75" customHeight="1" x14ac:dyDescent="0.25">
      <c r="B52" s="58" t="str">
        <f ca="1">IF(OR(List!E22="HF",List!E22="MF",List!E22="LF"),"infanterie",IF(OR(List!E22="KN",List!E22="CAT",List!E22="CV",List!E22="LH",List!E22="LCH",List!E22="HCH",List!E22="SCH",List!E22="EL"),"montes",IF(OR(List!E22="WWG",Lookup!H35="WGA"),"WWG","Special")))</f>
        <v>Special</v>
      </c>
      <c r="C52" s="58">
        <f ca="1">VLOOKUP(List!E23&amp;" "&amp;List!F23,Table_budget,MATCH(List!G23,Colonnes_table_budget,FALSE),FALSE)
   +IF(List!H23=VLOOKUP("Drilled",Zone_Traduction,ref_langue,FALSE),VLOOKUP(List!E23&amp;" "&amp;List!F23,Table_budget,MATCH(VLOOKUP("Drilled",Zone_Traduction,ref_langue,FALSE),Colonnes_table_budget,FALSE),FALSE),0)
   +IF(ISERROR(VLOOKUP(B52&amp;" "&amp;List!I23,Table_armes_tir,2,FALSE)),0,VLOOKUP(B52&amp;" "&amp;List!I23,Table_armes_tir,2,FALSE))
   +IF(ISERROR(VLOOKUP(B52&amp;" "&amp;List!#REF!,Table_armes_impact,2,FALSE)),0,VLOOKUP(B52&amp;" "&amp;List!#REF!,Table_armes_impact,2,FALSE))
   +IF(ISERROR(VLOOKUP(B52&amp;" "&amp;List!J23,Table_armes_melee,2,FALSE)),0,VLOOKUP(B52&amp;" "&amp;List!J23,Table_armes_melee,2,FALSE))
   +IF(ISERROR(VLOOKUP(List!K23,Table_special,2,FALSE)),0,VLOOKUP(List!K23,Table_special,2,FALSE))</f>
        <v>0</v>
      </c>
      <c r="L52" s="230"/>
      <c r="M52" s="205">
        <v>32</v>
      </c>
      <c r="N52" s="231" t="s">
        <v>338</v>
      </c>
      <c r="O52" s="230"/>
      <c r="P52" s="230"/>
      <c r="Q52" s="58" t="str">
        <f ca="1">Q67</f>
        <v>Average</v>
      </c>
      <c r="R52" s="217" t="s">
        <v>30</v>
      </c>
      <c r="S52" s="230"/>
      <c r="T52" s="124" t="str">
        <f ca="1">VLOOKUP("Heavy Weapon",Zone_Traduction,ref_langue,FALSE)</f>
        <v>Heavy Weapon</v>
      </c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188">
        <v>2</v>
      </c>
      <c r="AF52" s="232" t="str">
        <f t="shared" ref="AF52:AF72" si="10">CONCATENATE(AG52,AH52,AI52,AJ52,AK52,AL52,AM52,AN52,AO52,AP52,AQ52,AR52,AS52,AT52,AU52,AV52,AW52,AX52,AY52,AZ52,BA52,BB52,BC52)</f>
        <v>-</v>
      </c>
      <c r="AG52" s="58" t="str">
        <f>CONCATENATE(AG28,$AF$28)</f>
        <v>-</v>
      </c>
    </row>
    <row r="53" spans="2:66" ht="12.75" customHeight="1" x14ac:dyDescent="0.25">
      <c r="B53" s="58" t="str">
        <f>IF(OR(List!E23="HF",List!E23="MF",List!E23="LF"),"infanterie",IF(OR(List!E23="KN",List!E23="CAT",List!E23="CV",List!E23="LH",List!E23="LCH",List!E23="HCH",List!E23="SCH",List!E23="EL"),"montes",IF(OR(List!E23="WWG",Lookup!H36="WGA"),"WWG","Special")))</f>
        <v>Special</v>
      </c>
      <c r="H53" s="229" t="s">
        <v>30</v>
      </c>
      <c r="I53" s="125"/>
      <c r="L53" s="233"/>
      <c r="M53" s="218">
        <v>33</v>
      </c>
      <c r="N53" s="234" t="s">
        <v>339</v>
      </c>
      <c r="O53" s="233"/>
      <c r="P53" s="234"/>
      <c r="Q53" s="58" t="str">
        <f ca="1">Q68</f>
        <v>Poor</v>
      </c>
      <c r="R53" s="217"/>
      <c r="S53" s="235"/>
      <c r="T53" s="236" t="str">
        <f ca="1">VLOOKUP("Impact Foot",Zone_Traduction,ref_langue,FALSE)</f>
        <v>Impact Foot</v>
      </c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188">
        <v>3</v>
      </c>
      <c r="AF53" s="226" t="s">
        <v>30</v>
      </c>
      <c r="AG53" s="58" t="str">
        <f t="shared" ref="AG53:AV73" si="11">CONCATENATE(AG29,$AF$28)</f>
        <v>-</v>
      </c>
      <c r="AH53" s="58" t="str">
        <f t="shared" si="11"/>
        <v>-</v>
      </c>
      <c r="AI53" s="58">
        <v>10</v>
      </c>
    </row>
    <row r="54" spans="2:66" ht="12.75" customHeight="1" x14ac:dyDescent="0.25">
      <c r="B54" s="58" t="str">
        <f>IF(OR(List!E24="HF",List!E24="MF",List!E24="LF"),"infanterie",IF(OR(List!E24="KN",List!E24="CAT",List!E24="CV",List!E24="LH",List!E24="LCH",List!E24="HCH",List!E24="SCH",List!E24="EL"),"montes",IF(OR(List!E24="WWG",Lookup!H37="WGA"),"WWG","Special")))</f>
        <v>Special</v>
      </c>
      <c r="I54" s="125"/>
      <c r="J54" s="125" t="s">
        <v>566</v>
      </c>
      <c r="K54" s="230"/>
      <c r="L54" s="233"/>
      <c r="M54" s="205">
        <v>34</v>
      </c>
      <c r="N54" s="234" t="s">
        <v>341</v>
      </c>
      <c r="O54" s="233"/>
      <c r="P54" s="233"/>
      <c r="Q54" s="58" t="s">
        <v>30</v>
      </c>
      <c r="R54" s="217" t="s">
        <v>863</v>
      </c>
      <c r="S54" s="233"/>
      <c r="T54" s="236" t="str">
        <f ca="1">VLOOKUP("Impact Foot Heavy Weapon",Zone_Traduction,ref_langue,FALSE)</f>
        <v>Impact Foot Heavy Weapon</v>
      </c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188">
        <v>4</v>
      </c>
      <c r="AF54" s="226" t="s">
        <v>30</v>
      </c>
      <c r="AG54" s="58" t="str">
        <f t="shared" si="11"/>
        <v>-</v>
      </c>
      <c r="AH54" s="58" t="str">
        <f t="shared" si="11"/>
        <v>-</v>
      </c>
      <c r="AI54" s="58" t="str">
        <f t="shared" si="11"/>
        <v>-</v>
      </c>
      <c r="AJ54" s="58">
        <v>10</v>
      </c>
    </row>
    <row r="55" spans="2:66" ht="12.75" customHeight="1" x14ac:dyDescent="0.25">
      <c r="B55" s="58" t="str">
        <f>IF(OR(List!E25="HF",List!E25="MF",List!E25="LF"),"infanterie",IF(OR(List!E25="KN",List!E25="CAT",List!E25="CV",List!E25="LH",List!E25="LCH",List!E25="HCH",List!E25="SCH",List!E25="EL"),"montes",IF(OR(List!E25="WWG",Lookup!H38="WGA"),"WWG","Special")))</f>
        <v>Special</v>
      </c>
      <c r="I55" s="125"/>
      <c r="K55" s="233"/>
      <c r="L55" s="233"/>
      <c r="M55" s="218">
        <v>35</v>
      </c>
      <c r="N55" s="234" t="s">
        <v>342</v>
      </c>
      <c r="O55" s="233"/>
      <c r="P55" s="233"/>
      <c r="R55" s="217" t="str">
        <f ca="1">T46</f>
        <v>Lancer Swordsmen</v>
      </c>
      <c r="S55" s="233"/>
      <c r="T55" s="236" t="str">
        <f ca="1">VLOOKUP("Impact Foot Skilled Swordsmen",Zone_Traduction,ref_langue,FALSE)</f>
        <v>Impact Foot Skilled Swordsmen</v>
      </c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188">
        <v>5</v>
      </c>
      <c r="AF55" s="226" t="s">
        <v>30</v>
      </c>
      <c r="AG55" s="58" t="str">
        <f t="shared" si="11"/>
        <v>-</v>
      </c>
      <c r="AH55" s="58" t="str">
        <f t="shared" si="11"/>
        <v>-</v>
      </c>
      <c r="AI55" s="58" t="str">
        <f t="shared" si="11"/>
        <v>-</v>
      </c>
      <c r="AJ55" s="58" t="str">
        <f t="shared" si="11"/>
        <v>-</v>
      </c>
      <c r="AK55" s="58">
        <v>10</v>
      </c>
    </row>
    <row r="56" spans="2:66" ht="12.75" customHeight="1" x14ac:dyDescent="0.25">
      <c r="B56" s="58" t="str">
        <f>IF(OR(List!E26="HF",List!E26="MF",List!E26="LF"),"infanterie",IF(OR(List!E26="KN",List!E26="CAT",List!E26="CV",List!E26="LH",List!E26="LCH",List!E26="HCH",List!E26="SCH",List!E26="EL"),"montes",IF(OR(List!E26="WWG",Lookup!H39="WGA"),"WWG","Special")))</f>
        <v>Special</v>
      </c>
      <c r="I56" s="125"/>
      <c r="J56" s="124">
        <f ca="1">BN5+BM7</f>
        <v>0</v>
      </c>
      <c r="K56" s="233"/>
      <c r="L56" s="233"/>
      <c r="M56" s="205">
        <v>36</v>
      </c>
      <c r="N56" s="234" t="s">
        <v>340</v>
      </c>
      <c r="O56" s="233"/>
      <c r="P56" s="233"/>
      <c r="Q56" s="58" t="s">
        <v>857</v>
      </c>
      <c r="R56" s="217" t="str">
        <f ca="1">T48</f>
        <v>Lancer</v>
      </c>
      <c r="S56" s="234"/>
      <c r="T56" s="269" t="str">
        <f ca="1">VLOOKUP("Impact Foot Swordsmen",Zone_Traduction,ref_langue,FALSE)</f>
        <v>Impact Foot Swordsmen</v>
      </c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188">
        <v>6</v>
      </c>
      <c r="AF56" s="232" t="str">
        <f t="shared" si="10"/>
        <v>2-3-5-6-8-10</v>
      </c>
      <c r="AG56" s="58" t="str">
        <f t="shared" si="11"/>
        <v>2-</v>
      </c>
      <c r="AH56" s="58" t="str">
        <f t="shared" si="11"/>
        <v>3-</v>
      </c>
      <c r="AI56" s="58" t="str">
        <f t="shared" si="11"/>
        <v>5-</v>
      </c>
      <c r="AJ56" s="58" t="str">
        <f t="shared" si="11"/>
        <v>6-</v>
      </c>
      <c r="AK56" s="58" t="str">
        <f t="shared" si="11"/>
        <v>8-</v>
      </c>
      <c r="AL56" s="58">
        <v>10</v>
      </c>
    </row>
    <row r="57" spans="2:66" ht="12.75" customHeight="1" x14ac:dyDescent="0.25">
      <c r="B57" s="58" t="str">
        <f>IF(OR(List!E27="HF",List!E27="MF",List!E27="LF"),"infanterie",IF(OR(List!E27="KN",List!E27="CAT",List!E27="CV",List!E27="LH",List!E27="LCH",List!E27="HCH",List!E27="SCH",List!E27="EL"),"montes",IF(OR(List!E27="WWG",Lookup!H40="WGA"),"WWG","Special")))</f>
        <v>Special</v>
      </c>
      <c r="I57" s="125"/>
      <c r="K57" s="233"/>
      <c r="L57" s="233"/>
      <c r="M57" s="233"/>
      <c r="N57" s="233"/>
      <c r="O57" s="233"/>
      <c r="P57" s="233"/>
      <c r="Q57" s="58" t="str">
        <f ca="1">Q67</f>
        <v>Average</v>
      </c>
      <c r="R57" s="217" t="str">
        <f ca="1">T50</f>
        <v>Swordsmen</v>
      </c>
      <c r="S57" s="233"/>
      <c r="T57" s="236" t="str">
        <f ca="1">VLOOKUP("Light Spear Heavy Weapon",Zone_Traduction,ref_langue,FALSE)</f>
        <v>Light Spear Heavy Weapon</v>
      </c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188">
        <v>7</v>
      </c>
      <c r="AF57" s="232" t="str">
        <f t="shared" si="10"/>
        <v>2-3-4-6-7-8-10</v>
      </c>
      <c r="AG57" s="58" t="str">
        <f t="shared" si="11"/>
        <v>2-</v>
      </c>
      <c r="AH57" s="58" t="str">
        <f t="shared" si="11"/>
        <v>3-</v>
      </c>
      <c r="AI57" s="58" t="str">
        <f t="shared" si="11"/>
        <v>4-</v>
      </c>
      <c r="AJ57" s="58" t="str">
        <f t="shared" si="11"/>
        <v>6-</v>
      </c>
      <c r="AK57" s="58" t="str">
        <f t="shared" si="11"/>
        <v>7-</v>
      </c>
      <c r="AL57" s="58" t="str">
        <f t="shared" si="11"/>
        <v>8-</v>
      </c>
      <c r="AM57" s="58">
        <v>10</v>
      </c>
    </row>
    <row r="58" spans="2:66" ht="12.75" customHeight="1" x14ac:dyDescent="0.25">
      <c r="B58" s="58" t="str">
        <f>IF(OR(List!E28="HF",List!E28="MF",List!E28="LF"),"infanterie",IF(OR(List!E28="KN",List!E28="CAT",List!E28="CV",List!E28="LH",List!E28="LCH",List!E28="HCH",List!E28="SCH",List!E28="EL"),"montes",IF(OR(List!E28="WWG",Lookup!H41="WGA"),"WWG","Special")))</f>
        <v>Special</v>
      </c>
      <c r="I58" s="125"/>
      <c r="K58" s="233"/>
      <c r="L58" s="233"/>
      <c r="M58" s="233"/>
      <c r="N58" s="233"/>
      <c r="O58" s="233"/>
      <c r="P58" s="233"/>
      <c r="Q58" s="58" t="s">
        <v>30</v>
      </c>
      <c r="R58" s="217" t="s">
        <v>30</v>
      </c>
      <c r="S58" s="233"/>
      <c r="T58" s="236" t="str">
        <f ca="1">VLOOKUP("Light Spear Skilled Swordsmen",Zone_Traduction,ref_langue,FALSE)</f>
        <v>Light Spear Skilled Swordsmen</v>
      </c>
      <c r="U58" s="234"/>
      <c r="V58" s="233"/>
      <c r="W58" s="233"/>
      <c r="X58" s="233"/>
      <c r="Y58" s="233"/>
      <c r="Z58" s="233"/>
      <c r="AA58" s="233"/>
      <c r="AB58" s="233"/>
      <c r="AC58" s="233"/>
      <c r="AD58" s="233"/>
      <c r="AE58" s="188">
        <v>8</v>
      </c>
      <c r="AF58" s="232" t="str">
        <f t="shared" si="10"/>
        <v>1-2-4-5-6-7-8-10</v>
      </c>
      <c r="AG58" s="58" t="str">
        <f t="shared" si="11"/>
        <v>1-</v>
      </c>
      <c r="AH58" s="58" t="str">
        <f t="shared" si="11"/>
        <v>2-</v>
      </c>
      <c r="AI58" s="58" t="str">
        <f t="shared" si="11"/>
        <v>4-</v>
      </c>
      <c r="AJ58" s="58" t="str">
        <f t="shared" si="11"/>
        <v>5-</v>
      </c>
      <c r="AK58" s="58" t="str">
        <f t="shared" si="11"/>
        <v>6-</v>
      </c>
      <c r="AL58" s="58" t="str">
        <f t="shared" si="11"/>
        <v>7-</v>
      </c>
      <c r="AM58" s="58" t="str">
        <f t="shared" si="11"/>
        <v>8-</v>
      </c>
      <c r="AN58" s="58">
        <v>10</v>
      </c>
    </row>
    <row r="59" spans="2:66" ht="12.75" customHeight="1" x14ac:dyDescent="0.25">
      <c r="B59" s="58" t="str">
        <f>IF(OR(List!E29="HF",List!E29="MF",List!E29="LF"),"infanterie",IF(OR(List!E29="KN",List!E29="CAT",List!E29="CV",List!E29="LH",List!E29="LCH",List!E29="HCH",List!E29="SCH",List!E29="EL"),"montes",IF(OR(List!E29="WWG",Lookup!H42="WGA"),"WWG","Special")))</f>
        <v>Special</v>
      </c>
      <c r="I59" s="125"/>
      <c r="K59" s="233"/>
      <c r="L59" s="233"/>
      <c r="M59" s="233"/>
      <c r="N59" s="233"/>
      <c r="O59" s="233"/>
      <c r="P59" s="233"/>
      <c r="Q59" s="58" t="s">
        <v>858</v>
      </c>
      <c r="S59" s="233"/>
      <c r="T59" s="236" t="str">
        <f ca="1">VLOOKUP("Offensive Spearmen",Zone_Traduction,ref_langue,FALSE)</f>
        <v>Offensive Spearmen</v>
      </c>
      <c r="U59" s="233"/>
      <c r="V59" s="234"/>
      <c r="W59" s="233"/>
      <c r="X59" s="233"/>
      <c r="Y59" s="233"/>
      <c r="Z59" s="233"/>
      <c r="AA59" s="233"/>
      <c r="AB59" s="233"/>
      <c r="AC59" s="233"/>
      <c r="AD59" s="233"/>
      <c r="AE59" s="188">
        <v>9</v>
      </c>
      <c r="AF59" s="232" t="str">
        <f t="shared" si="10"/>
        <v>1-2-3-4-5-6-7-8-10</v>
      </c>
      <c r="AG59" s="58" t="str">
        <f t="shared" si="11"/>
        <v>1-</v>
      </c>
      <c r="AH59" s="58" t="str">
        <f t="shared" si="11"/>
        <v>2-</v>
      </c>
      <c r="AI59" s="58" t="str">
        <f t="shared" si="11"/>
        <v>3-</v>
      </c>
      <c r="AJ59" s="58" t="str">
        <f t="shared" si="11"/>
        <v>4-</v>
      </c>
      <c r="AK59" s="58" t="str">
        <f t="shared" si="11"/>
        <v>5-</v>
      </c>
      <c r="AL59" s="58" t="str">
        <f t="shared" si="11"/>
        <v>6-</v>
      </c>
      <c r="AM59" s="58" t="str">
        <f t="shared" si="11"/>
        <v>7-</v>
      </c>
      <c r="AN59" s="58" t="str">
        <f t="shared" si="11"/>
        <v>8-</v>
      </c>
      <c r="AO59" s="58">
        <v>10</v>
      </c>
    </row>
    <row r="60" spans="2:66" ht="12.75" customHeight="1" x14ac:dyDescent="0.25">
      <c r="B60" s="58" t="str">
        <f>IF(OR(List!E30="HF",List!E30="MF",List!E30="LF"),"infanterie",IF(OR(List!E30="KN",List!E30="CAT",List!E30="CV",List!E30="LH",List!E30="LCH",List!E30="HCH",List!E30="SCH",List!E30="EL"),"montes",IF(OR(List!E30="WWG",Lookup!H43="WGA"),"WWG","Special")))</f>
        <v>Special</v>
      </c>
      <c r="I60" s="125"/>
      <c r="K60" s="233"/>
      <c r="L60" s="233"/>
      <c r="M60" s="233"/>
      <c r="N60" s="233"/>
      <c r="O60" s="233"/>
      <c r="P60" s="233"/>
      <c r="Q60" s="58" t="str">
        <f ca="1">Q67</f>
        <v>Average</v>
      </c>
      <c r="R60" s="217" t="s">
        <v>864</v>
      </c>
      <c r="S60" s="233"/>
      <c r="T60" s="270" t="str">
        <f ca="1">VLOOKUP("Pike",Zone_Traduction,ref_langue,FALSE)</f>
        <v>Pike</v>
      </c>
      <c r="U60" s="233"/>
      <c r="V60" s="233"/>
      <c r="W60" s="234"/>
      <c r="X60" s="233"/>
      <c r="Y60" s="233"/>
      <c r="Z60" s="233"/>
      <c r="AA60" s="233"/>
      <c r="AB60" s="233"/>
      <c r="AC60" s="233"/>
      <c r="AD60" s="233"/>
      <c r="AE60" s="188">
        <v>10</v>
      </c>
      <c r="AF60" s="232" t="str">
        <f t="shared" si="10"/>
        <v>1-2-3-4-5-6-7-8-9-10</v>
      </c>
      <c r="AG60" s="58" t="str">
        <f t="shared" si="11"/>
        <v>1-</v>
      </c>
      <c r="AH60" s="58" t="str">
        <f t="shared" si="11"/>
        <v>2-</v>
      </c>
      <c r="AI60" s="58" t="str">
        <f t="shared" si="11"/>
        <v>3-</v>
      </c>
      <c r="AJ60" s="58" t="str">
        <f t="shared" si="11"/>
        <v>4-</v>
      </c>
      <c r="AK60" s="58" t="str">
        <f t="shared" si="11"/>
        <v>5-</v>
      </c>
      <c r="AL60" s="58" t="str">
        <f t="shared" si="11"/>
        <v>6-</v>
      </c>
      <c r="AM60" s="58" t="str">
        <f t="shared" si="11"/>
        <v>7-</v>
      </c>
      <c r="AN60" s="58" t="str">
        <f t="shared" si="11"/>
        <v>8-</v>
      </c>
      <c r="AO60" s="58" t="str">
        <f t="shared" si="11"/>
        <v>9-</v>
      </c>
      <c r="AP60" s="58">
        <v>10</v>
      </c>
    </row>
    <row r="61" spans="2:66" ht="12.75" customHeight="1" x14ac:dyDescent="0.25">
      <c r="B61" s="58" t="str">
        <f>IF(OR(List!E31="HF",List!E31="MF",List!E31="LF"),"infanterie",IF(OR(List!E31="KN",List!E31="CAT",List!E31="CV",List!E31="LH",List!E31="LCH",List!E31="HCH",List!E31="SCH",List!E31="EL"),"montes",IF(OR(List!E31="WWG",Lookup!H44="WGA"),"WWG","Special")))</f>
        <v>Special</v>
      </c>
      <c r="I61" s="125"/>
      <c r="K61" s="233"/>
      <c r="L61" s="233"/>
      <c r="M61" s="233"/>
      <c r="N61" s="233"/>
      <c r="O61" s="233"/>
      <c r="P61" s="233"/>
      <c r="Q61" s="58" t="str">
        <f ca="1">Q68</f>
        <v>Poor</v>
      </c>
      <c r="R61" s="217" t="str">
        <f ca="1">T46</f>
        <v>Lancer Swordsmen</v>
      </c>
      <c r="S61" s="233"/>
      <c r="T61" s="236" t="str">
        <f ca="1">VLOOKUP("Skilled Swordsmen",Zone_Traduction,ref_langue,FALSE)</f>
        <v>Skilled Swordsmen</v>
      </c>
      <c r="U61" s="233"/>
      <c r="V61" s="233"/>
      <c r="W61" s="233"/>
      <c r="X61" s="234"/>
      <c r="Y61" s="233"/>
      <c r="Z61" s="233"/>
      <c r="AA61" s="233"/>
      <c r="AB61" s="233"/>
      <c r="AC61" s="233"/>
      <c r="AD61" s="233"/>
      <c r="AE61" s="188">
        <v>11</v>
      </c>
      <c r="AF61" s="232" t="str">
        <f t="shared" si="10"/>
        <v>1-2-3-3-4-5-6-7-8-9-10</v>
      </c>
      <c r="AG61" s="58" t="str">
        <f t="shared" si="11"/>
        <v>1-</v>
      </c>
      <c r="AH61" s="58" t="str">
        <f t="shared" si="11"/>
        <v>2-</v>
      </c>
      <c r="AI61" s="58" t="str">
        <f t="shared" si="11"/>
        <v>3-</v>
      </c>
      <c r="AJ61" s="58" t="str">
        <f t="shared" si="11"/>
        <v>3-</v>
      </c>
      <c r="AK61" s="58" t="str">
        <f t="shared" si="11"/>
        <v>4-</v>
      </c>
      <c r="AL61" s="58" t="str">
        <f t="shared" si="11"/>
        <v>5-</v>
      </c>
      <c r="AM61" s="58" t="str">
        <f t="shared" si="11"/>
        <v>6-</v>
      </c>
      <c r="AN61" s="58" t="str">
        <f t="shared" si="11"/>
        <v>7-</v>
      </c>
      <c r="AO61" s="58" t="str">
        <f t="shared" si="11"/>
        <v>8-</v>
      </c>
      <c r="AP61" s="58" t="str">
        <f t="shared" si="11"/>
        <v>9-</v>
      </c>
      <c r="AQ61" s="58">
        <v>10</v>
      </c>
    </row>
    <row r="62" spans="2:66" ht="27" customHeight="1" x14ac:dyDescent="0.25">
      <c r="B62" s="58" t="str">
        <f>IF(OR(List!E32="HF",List!E32="MF",List!E32="LF"),"infanterie",IF(OR(List!E32="KN",List!E32="CAT",List!E32="CV",List!E32="LH",List!E32="LCH",List!E32="HCH",List!E32="SCH",List!E32="EL"),"montes",IF(OR(List!E32="WWG",Lookup!H45="WGA"),"WWG","Special")))</f>
        <v>Special</v>
      </c>
      <c r="I62" s="125"/>
      <c r="K62" s="233"/>
      <c r="L62" s="233"/>
      <c r="M62" s="233"/>
      <c r="N62" s="233"/>
      <c r="O62" s="233"/>
      <c r="P62" s="233"/>
      <c r="Q62" s="58" t="s">
        <v>30</v>
      </c>
      <c r="R62" s="217" t="str">
        <f ca="1">T47</f>
        <v>Light spear Swordsmen</v>
      </c>
      <c r="S62" s="233"/>
      <c r="T62" s="270" t="s">
        <v>848</v>
      </c>
      <c r="U62" s="233"/>
      <c r="V62" s="233"/>
      <c r="W62" s="233"/>
      <c r="X62" s="233"/>
      <c r="Y62" s="234"/>
      <c r="Z62" s="233"/>
      <c r="AA62" s="233"/>
      <c r="AB62" s="233"/>
      <c r="AC62" s="233"/>
      <c r="AD62" s="233"/>
      <c r="AE62" s="188">
        <v>12</v>
      </c>
      <c r="AF62" s="232" t="str">
        <f t="shared" si="10"/>
        <v>1-2-2-3-4-5-6-6-7-8-9-10</v>
      </c>
      <c r="AG62" s="58" t="str">
        <f t="shared" si="11"/>
        <v>1-</v>
      </c>
      <c r="AH62" s="58" t="str">
        <f t="shared" si="11"/>
        <v>2-</v>
      </c>
      <c r="AI62" s="58" t="str">
        <f t="shared" si="11"/>
        <v>2-</v>
      </c>
      <c r="AJ62" s="58" t="str">
        <f t="shared" si="11"/>
        <v>3-</v>
      </c>
      <c r="AK62" s="58" t="str">
        <f t="shared" si="11"/>
        <v>4-</v>
      </c>
      <c r="AL62" s="58" t="str">
        <f t="shared" si="11"/>
        <v>5-</v>
      </c>
      <c r="AM62" s="58" t="str">
        <f t="shared" si="11"/>
        <v>6-</v>
      </c>
      <c r="AN62" s="58" t="str">
        <f t="shared" si="11"/>
        <v>6-</v>
      </c>
      <c r="AO62" s="58" t="str">
        <f t="shared" si="11"/>
        <v>7-</v>
      </c>
      <c r="AP62" s="58" t="str">
        <f t="shared" si="11"/>
        <v>8-</v>
      </c>
      <c r="AQ62" s="58" t="str">
        <f t="shared" si="11"/>
        <v>9-</v>
      </c>
      <c r="AR62" s="58">
        <v>10</v>
      </c>
    </row>
    <row r="63" spans="2:66" ht="24.75" customHeight="1" x14ac:dyDescent="0.25">
      <c r="B63" s="58" t="str">
        <f>IF(OR(List!E33="HF",List!E33="MF",List!E33="LF"),"infanterie",IF(OR(List!E33="KN",List!E33="CAT",List!E33="CV",List!E33="LH",List!E33="LCH",List!E33="HCH",List!E33="SCH",List!E33="EL"),"montes",IF(OR(List!E33="WWG",Lookup!H46="WGA"),"WWG","Special")))</f>
        <v>Special</v>
      </c>
      <c r="I63" s="125"/>
      <c r="K63" s="233"/>
      <c r="L63" s="233"/>
      <c r="M63" s="233"/>
      <c r="N63" s="233"/>
      <c r="O63" s="233"/>
      <c r="P63" s="233"/>
      <c r="R63" s="217" t="str">
        <f ca="1">T48</f>
        <v>Lancer</v>
      </c>
      <c r="S63" s="233"/>
      <c r="T63" s="233"/>
      <c r="U63" s="233"/>
      <c r="V63" s="233"/>
      <c r="W63" s="233"/>
      <c r="X63" s="233"/>
      <c r="Y63" s="233"/>
      <c r="Z63" s="234"/>
      <c r="AA63" s="233"/>
      <c r="AB63" s="233"/>
      <c r="AC63" s="233"/>
      <c r="AD63" s="233"/>
      <c r="AE63" s="188">
        <v>13</v>
      </c>
      <c r="AF63" s="232" t="str">
        <f t="shared" si="10"/>
        <v>1-1-2-3-4-4-5-6-7-7-8-9-10</v>
      </c>
      <c r="AG63" s="58" t="str">
        <f t="shared" si="11"/>
        <v>1-</v>
      </c>
      <c r="AH63" s="58" t="str">
        <f t="shared" si="11"/>
        <v>1-</v>
      </c>
      <c r="AI63" s="58" t="str">
        <f t="shared" si="11"/>
        <v>2-</v>
      </c>
      <c r="AJ63" s="58" t="str">
        <f t="shared" si="11"/>
        <v>3-</v>
      </c>
      <c r="AK63" s="58" t="str">
        <f t="shared" si="11"/>
        <v>4-</v>
      </c>
      <c r="AL63" s="58" t="str">
        <f t="shared" si="11"/>
        <v>4-</v>
      </c>
      <c r="AM63" s="58" t="str">
        <f t="shared" si="11"/>
        <v>5-</v>
      </c>
      <c r="AN63" s="58" t="str">
        <f t="shared" si="11"/>
        <v>6-</v>
      </c>
      <c r="AO63" s="58" t="str">
        <f t="shared" si="11"/>
        <v>7-</v>
      </c>
      <c r="AP63" s="58" t="str">
        <f t="shared" si="11"/>
        <v>7-</v>
      </c>
      <c r="AQ63" s="58" t="str">
        <f t="shared" si="11"/>
        <v>8-</v>
      </c>
      <c r="AR63" s="58" t="str">
        <f t="shared" si="11"/>
        <v>9-</v>
      </c>
      <c r="AS63" s="58">
        <v>10</v>
      </c>
    </row>
    <row r="64" spans="2:66" ht="24.75" customHeight="1" x14ac:dyDescent="0.25">
      <c r="B64" s="58" t="str">
        <f>IF(OR(List!E34="HF",List!E34="MF",List!E34="LF"),"infanterie",IF(OR(List!E34="KN",List!E34="CAT",List!E34="CV",List!E34="LH",List!E34="LCH",List!E34="HCH",List!E34="SCH",List!E34="EL"),"montes",IF(OR(List!E34="WWG",Lookup!H47="WGA"),"WWG","Special")))</f>
        <v>Special</v>
      </c>
      <c r="I64" s="125"/>
      <c r="K64" s="233"/>
      <c r="L64" s="233"/>
      <c r="M64" s="233"/>
      <c r="N64" s="233"/>
      <c r="O64" s="233"/>
      <c r="P64" s="233"/>
      <c r="Q64" s="58" t="s">
        <v>859</v>
      </c>
      <c r="R64" s="217" t="str">
        <f ca="1">T49</f>
        <v>Light Spear</v>
      </c>
      <c r="S64" s="233"/>
      <c r="T64" s="233"/>
      <c r="U64" s="233"/>
      <c r="V64" s="233"/>
      <c r="W64" s="233"/>
      <c r="X64" s="233"/>
      <c r="Y64" s="233"/>
      <c r="Z64" s="233"/>
      <c r="AA64" s="234"/>
      <c r="AB64" s="233"/>
      <c r="AC64" s="233"/>
      <c r="AD64" s="233"/>
      <c r="AE64" s="188">
        <v>14</v>
      </c>
      <c r="AF64" s="232" t="str">
        <f t="shared" si="10"/>
        <v>1-1-2-3-3-4-5-5-6-7-7-8-9-10</v>
      </c>
      <c r="AG64" s="58" t="str">
        <f t="shared" si="11"/>
        <v>1-</v>
      </c>
      <c r="AH64" s="58" t="str">
        <f t="shared" si="11"/>
        <v>1-</v>
      </c>
      <c r="AI64" s="58" t="str">
        <f t="shared" si="11"/>
        <v>2-</v>
      </c>
      <c r="AJ64" s="58" t="str">
        <f t="shared" si="11"/>
        <v>3-</v>
      </c>
      <c r="AK64" s="58" t="str">
        <f t="shared" si="11"/>
        <v>3-</v>
      </c>
      <c r="AL64" s="58" t="str">
        <f t="shared" si="11"/>
        <v>4-</v>
      </c>
      <c r="AM64" s="58" t="str">
        <f t="shared" si="11"/>
        <v>5-</v>
      </c>
      <c r="AN64" s="58" t="str">
        <f t="shared" si="11"/>
        <v>5-</v>
      </c>
      <c r="AO64" s="58" t="str">
        <f t="shared" si="11"/>
        <v>6-</v>
      </c>
      <c r="AP64" s="58" t="str">
        <f t="shared" si="11"/>
        <v>7-</v>
      </c>
      <c r="AQ64" s="58" t="str">
        <f t="shared" si="11"/>
        <v>7-</v>
      </c>
      <c r="AR64" s="58" t="str">
        <f t="shared" si="11"/>
        <v>8-</v>
      </c>
      <c r="AS64" s="58" t="str">
        <f t="shared" si="11"/>
        <v>9-</v>
      </c>
      <c r="AT64" s="58">
        <v>10</v>
      </c>
    </row>
    <row r="65" spans="2:55" ht="12.5" x14ac:dyDescent="0.25">
      <c r="B65" s="58" t="str">
        <f>IF(OR(List!E35="HF",List!E35="MF",List!E35="LF"),"infanterie",IF(OR(List!E35="KN",List!E35="CAT",List!E35="CV",List!E35="LH",List!E35="LCH",List!E35="HCH",List!E35="SCH",List!E35="EL"),"montes",IF(OR(List!E35="WWG",Lookup!H48="WGA"),"WWG","Special")))</f>
        <v>Special</v>
      </c>
      <c r="I65" s="125"/>
      <c r="K65" s="233"/>
      <c r="L65" s="233"/>
      <c r="M65" s="233"/>
      <c r="N65" s="233"/>
      <c r="O65" s="233"/>
      <c r="P65" s="233"/>
      <c r="Q65" s="124" t="str">
        <f ca="1">VLOOKUP("Elite",Zone_Traduction,ref_langue,FALSE)</f>
        <v>Elite</v>
      </c>
      <c r="R65" s="217" t="str">
        <f ca="1">T50</f>
        <v>Swordsmen</v>
      </c>
      <c r="S65" s="233"/>
      <c r="T65" s="233"/>
      <c r="U65" s="233"/>
      <c r="V65" s="233"/>
      <c r="W65" s="233"/>
      <c r="X65" s="233"/>
      <c r="Y65" s="233"/>
      <c r="Z65" s="233"/>
      <c r="AA65" s="233"/>
      <c r="AB65" s="234"/>
      <c r="AC65" s="233"/>
      <c r="AD65" s="233"/>
      <c r="AE65" s="188">
        <v>15</v>
      </c>
      <c r="AF65" s="232" t="str">
        <f t="shared" si="10"/>
        <v>1-1-2-2-3-4-4-5-6-6-7-8-8-9-10</v>
      </c>
      <c r="AG65" s="58" t="str">
        <f t="shared" si="11"/>
        <v>1-</v>
      </c>
      <c r="AH65" s="58" t="str">
        <f t="shared" si="11"/>
        <v>1-</v>
      </c>
      <c r="AI65" s="58" t="str">
        <f t="shared" si="11"/>
        <v>2-</v>
      </c>
      <c r="AJ65" s="58" t="str">
        <f t="shared" si="11"/>
        <v>2-</v>
      </c>
      <c r="AK65" s="58" t="str">
        <f t="shared" si="11"/>
        <v>3-</v>
      </c>
      <c r="AL65" s="58" t="str">
        <f t="shared" si="11"/>
        <v>4-</v>
      </c>
      <c r="AM65" s="58" t="str">
        <f t="shared" si="11"/>
        <v>4-</v>
      </c>
      <c r="AN65" s="58" t="str">
        <f t="shared" si="11"/>
        <v>5-</v>
      </c>
      <c r="AO65" s="58" t="str">
        <f t="shared" si="11"/>
        <v>6-</v>
      </c>
      <c r="AP65" s="58" t="str">
        <f t="shared" si="11"/>
        <v>6-</v>
      </c>
      <c r="AQ65" s="58" t="str">
        <f t="shared" si="11"/>
        <v>7-</v>
      </c>
      <c r="AR65" s="58" t="str">
        <f t="shared" si="11"/>
        <v>8-</v>
      </c>
      <c r="AS65" s="58" t="str">
        <f t="shared" si="11"/>
        <v>8-</v>
      </c>
      <c r="AT65" s="58" t="str">
        <f t="shared" si="11"/>
        <v>9-</v>
      </c>
      <c r="AU65" s="58">
        <v>10</v>
      </c>
    </row>
    <row r="66" spans="2:55" ht="12.5" x14ac:dyDescent="0.25">
      <c r="B66" s="58" t="str">
        <f>IF(OR(List!E36="HF",List!E36="MF",List!E36="LF"),"infanterie",IF(OR(List!E36="KN",List!E36="CAT",List!E36="CV",List!E36="LH",List!E36="LCH",List!E36="HCH",List!E36="SCH",List!E36="EL"),"montes",IF(OR(List!E36="WWG",Lookup!H49="WGA"),"WWG","Special")))</f>
        <v>Special</v>
      </c>
      <c r="I66" s="125"/>
      <c r="K66" s="233"/>
      <c r="L66" s="233"/>
      <c r="M66" s="233"/>
      <c r="N66" s="233"/>
      <c r="O66" s="233"/>
      <c r="P66" s="233"/>
      <c r="Q66" s="236" t="str">
        <f ca="1">VLOOKUP("Superior",Zone_Traduction,ref_langue,FALSE)</f>
        <v>Superior</v>
      </c>
      <c r="R66" s="217" t="s">
        <v>30</v>
      </c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188">
        <v>16</v>
      </c>
      <c r="AF66" s="232" t="str">
        <f t="shared" si="10"/>
        <v>1-1-2-2-3-3-4-5-5-6-6-7-8-8-9-10</v>
      </c>
      <c r="AG66" s="58" t="str">
        <f t="shared" si="11"/>
        <v>1-</v>
      </c>
      <c r="AH66" s="58" t="str">
        <f t="shared" si="11"/>
        <v>1-</v>
      </c>
      <c r="AI66" s="58" t="str">
        <f t="shared" si="11"/>
        <v>2-</v>
      </c>
      <c r="AJ66" s="58" t="str">
        <f t="shared" si="11"/>
        <v>2-</v>
      </c>
      <c r="AK66" s="58" t="str">
        <f t="shared" si="11"/>
        <v>3-</v>
      </c>
      <c r="AL66" s="58" t="str">
        <f t="shared" si="11"/>
        <v>3-</v>
      </c>
      <c r="AM66" s="58" t="str">
        <f t="shared" si="11"/>
        <v>4-</v>
      </c>
      <c r="AN66" s="58" t="str">
        <f t="shared" si="11"/>
        <v>5-</v>
      </c>
      <c r="AO66" s="58" t="str">
        <f t="shared" si="11"/>
        <v>5-</v>
      </c>
      <c r="AP66" s="58" t="str">
        <f t="shared" si="11"/>
        <v>6-</v>
      </c>
      <c r="AQ66" s="58" t="str">
        <f t="shared" si="11"/>
        <v>6-</v>
      </c>
      <c r="AR66" s="58" t="str">
        <f t="shared" si="11"/>
        <v>7-</v>
      </c>
      <c r="AS66" s="58" t="str">
        <f t="shared" si="11"/>
        <v>8-</v>
      </c>
      <c r="AT66" s="58" t="str">
        <f t="shared" si="11"/>
        <v>8-</v>
      </c>
      <c r="AU66" s="58" t="str">
        <f t="shared" si="11"/>
        <v>9-</v>
      </c>
      <c r="AV66" s="58">
        <v>10</v>
      </c>
    </row>
    <row r="67" spans="2:55" ht="12.5" x14ac:dyDescent="0.25">
      <c r="B67" s="58" t="str">
        <f>IF(OR(List!E37="HF",List!E37="MF",List!E37="LF"),"infanterie",IF(OR(List!E37="KN",List!E37="CAT",List!E37="CV",List!E37="LH",List!E37="LCH",List!E37="HCH",List!E37="SCH",List!E37="EL"),"montes",IF(OR(List!E37="WWG",Lookup!H50="WGA"),"WWG","Special")))</f>
        <v>Special</v>
      </c>
      <c r="I67" s="125"/>
      <c r="K67" s="233"/>
      <c r="L67" s="233"/>
      <c r="M67" s="233"/>
      <c r="N67" s="233"/>
      <c r="O67" s="233"/>
      <c r="P67" s="233"/>
      <c r="Q67" s="269" t="str">
        <f ca="1">VLOOKUP("Average",Zone_Traduction,ref_langue,FALSE)</f>
        <v>Average</v>
      </c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188">
        <v>17</v>
      </c>
      <c r="AF67" s="232" t="str">
        <f t="shared" si="10"/>
        <v>1-1-2-2-3-3-4-4-5-6-6-7-7-8-8-9-10</v>
      </c>
      <c r="AG67" s="58" t="str">
        <f t="shared" si="11"/>
        <v>1-</v>
      </c>
      <c r="AH67" s="58" t="str">
        <f t="shared" si="11"/>
        <v>1-</v>
      </c>
      <c r="AI67" s="58" t="str">
        <f t="shared" si="11"/>
        <v>2-</v>
      </c>
      <c r="AJ67" s="58" t="str">
        <f t="shared" si="11"/>
        <v>2-</v>
      </c>
      <c r="AK67" s="58" t="str">
        <f t="shared" si="11"/>
        <v>3-</v>
      </c>
      <c r="AL67" s="58" t="str">
        <f t="shared" si="11"/>
        <v>3-</v>
      </c>
      <c r="AM67" s="58" t="str">
        <f t="shared" si="11"/>
        <v>4-</v>
      </c>
      <c r="AN67" s="58" t="str">
        <f t="shared" si="11"/>
        <v>4-</v>
      </c>
      <c r="AO67" s="58" t="str">
        <f t="shared" si="11"/>
        <v>5-</v>
      </c>
      <c r="AP67" s="58" t="str">
        <f t="shared" si="11"/>
        <v>6-</v>
      </c>
      <c r="AQ67" s="58" t="str">
        <f t="shared" si="11"/>
        <v>6-</v>
      </c>
      <c r="AR67" s="58" t="str">
        <f t="shared" si="11"/>
        <v>7-</v>
      </c>
      <c r="AS67" s="58" t="str">
        <f t="shared" si="11"/>
        <v>7-</v>
      </c>
      <c r="AT67" s="58" t="str">
        <f t="shared" si="11"/>
        <v>8-</v>
      </c>
      <c r="AU67" s="58" t="str">
        <f t="shared" si="11"/>
        <v>8-</v>
      </c>
      <c r="AV67" s="58" t="str">
        <f t="shared" si="11"/>
        <v>9-</v>
      </c>
      <c r="AW67" s="58">
        <v>10</v>
      </c>
    </row>
    <row r="68" spans="2:55" ht="12.5" x14ac:dyDescent="0.25">
      <c r="B68" s="58" t="str">
        <f>IF(OR(List!E38="HF",List!E38="MF",List!E38="LF"),"infanterie",IF(OR(List!E38="KN",List!E38="CAT",List!E38="CV",List!E38="LH",List!E38="LCH",List!E38="HCH",List!E38="SCH",List!E38="EL"),"montes",IF(OR(List!E38="WWG",Lookup!H51="WGA"),"WWG","Special")))</f>
        <v>Special</v>
      </c>
      <c r="I68" s="125"/>
      <c r="K68" s="233"/>
      <c r="L68" s="233"/>
      <c r="M68" s="233"/>
      <c r="N68" s="233"/>
      <c r="O68" s="233"/>
      <c r="P68" s="233"/>
      <c r="Q68" s="269" t="str">
        <f ca="1">VLOOKUP("Poor",Zone_Traduction,ref_langue,FALSE)</f>
        <v>Poor</v>
      </c>
      <c r="R68" s="217" t="s">
        <v>865</v>
      </c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188">
        <v>18</v>
      </c>
      <c r="AF68" s="232" t="str">
        <f t="shared" si="10"/>
        <v>1-1-1-2-2-3-4-4-5-5-6-6-7-7-8-8-9-10</v>
      </c>
      <c r="AG68" s="58" t="str">
        <f t="shared" si="11"/>
        <v>1-</v>
      </c>
      <c r="AH68" s="58" t="str">
        <f t="shared" si="11"/>
        <v>1-</v>
      </c>
      <c r="AI68" s="58" t="str">
        <f t="shared" si="11"/>
        <v>1-</v>
      </c>
      <c r="AJ68" s="58" t="str">
        <f t="shared" si="11"/>
        <v>2-</v>
      </c>
      <c r="AK68" s="58" t="str">
        <f t="shared" si="11"/>
        <v>2-</v>
      </c>
      <c r="AL68" s="58" t="str">
        <f t="shared" si="11"/>
        <v>3-</v>
      </c>
      <c r="AM68" s="58" t="str">
        <f t="shared" si="11"/>
        <v>4-</v>
      </c>
      <c r="AN68" s="58" t="str">
        <f t="shared" si="11"/>
        <v>4-</v>
      </c>
      <c r="AO68" s="58" t="str">
        <f t="shared" si="11"/>
        <v>5-</v>
      </c>
      <c r="AP68" s="58" t="str">
        <f t="shared" si="11"/>
        <v>5-</v>
      </c>
      <c r="AQ68" s="58" t="str">
        <f t="shared" si="11"/>
        <v>6-</v>
      </c>
      <c r="AR68" s="58" t="str">
        <f t="shared" si="11"/>
        <v>6-</v>
      </c>
      <c r="AS68" s="58" t="str">
        <f t="shared" si="11"/>
        <v>7-</v>
      </c>
      <c r="AT68" s="58" t="str">
        <f t="shared" si="11"/>
        <v>7-</v>
      </c>
      <c r="AU68" s="58" t="str">
        <f t="shared" si="11"/>
        <v>8-</v>
      </c>
      <c r="AV68" s="58" t="str">
        <f t="shared" si="11"/>
        <v>8-</v>
      </c>
      <c r="AW68" s="58" t="str">
        <f>CONCATENATE(AW44,$AF$28)</f>
        <v>9-</v>
      </c>
      <c r="AX68" s="58">
        <v>10</v>
      </c>
    </row>
    <row r="69" spans="2:55" ht="12.5" x14ac:dyDescent="0.25">
      <c r="B69" s="58" t="str">
        <f>IF(OR(List!E39="HF",List!E39="MF",List!E39="LF"),"infanterie",IF(OR(List!E39="KN",List!E39="CAT",List!E39="CV",List!E39="LH",List!E39="LCH",List!E39="HCH",List!E39="SCH",List!E39="EL"),"montes",IF(OR(List!E39="WWG",Lookup!H52="WGA"),"WWG","Special")))</f>
        <v>Special</v>
      </c>
      <c r="I69" s="125"/>
      <c r="K69" s="233"/>
      <c r="L69" s="233"/>
      <c r="M69" s="233"/>
      <c r="N69" s="233"/>
      <c r="O69" s="233"/>
      <c r="P69" s="233"/>
      <c r="Q69" s="237" t="s">
        <v>30</v>
      </c>
      <c r="R69" s="217" t="str">
        <f ca="1">T49</f>
        <v>Light Spear</v>
      </c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188">
        <v>19</v>
      </c>
      <c r="AF69" s="232" t="str">
        <f t="shared" si="10"/>
        <v>1-1-1-2-2-3-3-4-4-5-5-6-6-7-7-8-8-9-10</v>
      </c>
      <c r="AG69" s="58" t="str">
        <f t="shared" si="11"/>
        <v>1-</v>
      </c>
      <c r="AH69" s="58" t="str">
        <f t="shared" si="11"/>
        <v>1-</v>
      </c>
      <c r="AI69" s="58" t="str">
        <f t="shared" si="11"/>
        <v>1-</v>
      </c>
      <c r="AJ69" s="58" t="str">
        <f t="shared" si="11"/>
        <v>2-</v>
      </c>
      <c r="AK69" s="58" t="str">
        <f t="shared" si="11"/>
        <v>2-</v>
      </c>
      <c r="AL69" s="58" t="str">
        <f t="shared" si="11"/>
        <v>3-</v>
      </c>
      <c r="AM69" s="58" t="str">
        <f t="shared" si="11"/>
        <v>3-</v>
      </c>
      <c r="AN69" s="58" t="str">
        <f t="shared" si="11"/>
        <v>4-</v>
      </c>
      <c r="AO69" s="58" t="str">
        <f t="shared" si="11"/>
        <v>4-</v>
      </c>
      <c r="AP69" s="58" t="str">
        <f t="shared" si="11"/>
        <v>5-</v>
      </c>
      <c r="AQ69" s="58" t="str">
        <f t="shared" si="11"/>
        <v>5-</v>
      </c>
      <c r="AR69" s="58" t="str">
        <f t="shared" si="11"/>
        <v>6-</v>
      </c>
      <c r="AS69" s="58" t="str">
        <f t="shared" si="11"/>
        <v>6-</v>
      </c>
      <c r="AT69" s="58" t="str">
        <f t="shared" si="11"/>
        <v>7-</v>
      </c>
      <c r="AU69" s="58" t="str">
        <f t="shared" si="11"/>
        <v>7-</v>
      </c>
      <c r="AV69" s="58" t="str">
        <f t="shared" si="11"/>
        <v>8-</v>
      </c>
      <c r="AW69" s="58" t="str">
        <f>CONCATENATE(AW45,$AF$28)</f>
        <v>8-</v>
      </c>
      <c r="AX69" s="58" t="str">
        <f>CONCATENATE(AX45,$AF$28)</f>
        <v>9-</v>
      </c>
      <c r="AY69" s="58">
        <v>10</v>
      </c>
    </row>
    <row r="70" spans="2:55" ht="12.5" x14ac:dyDescent="0.25">
      <c r="B70" s="58" t="str">
        <f>IF(OR(List!E40="HF",List!E40="MF",List!E40="LF"),"infanterie",IF(OR(List!E40="KN",List!E40="CAT",List!E40="CV",List!E40="LH",List!E40="LCH",List!E40="HCH",List!E40="SCH",List!E40="EL"),"montes",IF(OR(List!E40="WWG",Lookup!H53="WGA"),"WWG","Special")))</f>
        <v>Special</v>
      </c>
      <c r="K70" s="233"/>
      <c r="Q70" s="238"/>
      <c r="R70" s="124" t="s">
        <v>30</v>
      </c>
      <c r="T70" s="233"/>
      <c r="AE70" s="188">
        <v>20</v>
      </c>
      <c r="AF70" s="232" t="str">
        <f t="shared" si="10"/>
        <v>1-1-1-2-2-3-3-4-4-5-5-6-6-7-7-8-8-9-9-10</v>
      </c>
      <c r="AG70" s="58" t="str">
        <f t="shared" si="11"/>
        <v>1-</v>
      </c>
      <c r="AH70" s="58" t="str">
        <f t="shared" si="11"/>
        <v>1-</v>
      </c>
      <c r="AI70" s="58" t="str">
        <f t="shared" si="11"/>
        <v>1-</v>
      </c>
      <c r="AJ70" s="58" t="str">
        <f t="shared" si="11"/>
        <v>2-</v>
      </c>
      <c r="AK70" s="58" t="str">
        <f t="shared" si="11"/>
        <v>2-</v>
      </c>
      <c r="AL70" s="58" t="str">
        <f t="shared" si="11"/>
        <v>3-</v>
      </c>
      <c r="AM70" s="58" t="str">
        <f t="shared" si="11"/>
        <v>3-</v>
      </c>
      <c r="AN70" s="58" t="str">
        <f t="shared" si="11"/>
        <v>4-</v>
      </c>
      <c r="AO70" s="58" t="str">
        <f t="shared" si="11"/>
        <v>4-</v>
      </c>
      <c r="AP70" s="58" t="str">
        <f t="shared" si="11"/>
        <v>5-</v>
      </c>
      <c r="AQ70" s="58" t="str">
        <f t="shared" si="11"/>
        <v>5-</v>
      </c>
      <c r="AR70" s="58" t="str">
        <f t="shared" si="11"/>
        <v>6-</v>
      </c>
      <c r="AS70" s="58" t="str">
        <f t="shared" si="11"/>
        <v>6-</v>
      </c>
      <c r="AT70" s="58" t="str">
        <f t="shared" si="11"/>
        <v>7-</v>
      </c>
      <c r="AU70" s="58" t="str">
        <f t="shared" si="11"/>
        <v>7-</v>
      </c>
      <c r="AV70" s="58" t="str">
        <f t="shared" si="11"/>
        <v>8-</v>
      </c>
      <c r="AW70" s="58" t="str">
        <f>CONCATENATE(AW46,$AF$28)</f>
        <v>8-</v>
      </c>
      <c r="AX70" s="58" t="str">
        <f>CONCATENATE(AX46,$AF$28)</f>
        <v>9-</v>
      </c>
      <c r="AY70" s="58" t="str">
        <f>CONCATENATE(AY46,$AF$28)</f>
        <v>9-</v>
      </c>
      <c r="AZ70" s="58">
        <v>10</v>
      </c>
    </row>
    <row r="71" spans="2:55" ht="12.5" x14ac:dyDescent="0.25">
      <c r="B71" s="58" t="str">
        <f>IF(OR(List!E41="HF",List!E41="MF",List!E41="LF"),"infanterie",IF(OR(List!E41="KN",List!E41="CAT",List!E41="CV",List!E41="LH",List!E41="LCH",List!E41="HCH",List!E41="SCH",List!E41="EL"),"montes",IF(OR(List!E41="WWG",Lookup!H54="WGA"),"WWG","Special")))</f>
        <v>Special</v>
      </c>
      <c r="K71" s="233"/>
      <c r="L71" s="125"/>
      <c r="M71" s="125"/>
      <c r="N71" s="125"/>
      <c r="O71" s="125"/>
      <c r="P71" s="125"/>
      <c r="Q71" s="270" t="str">
        <f ca="1">VLOOKUP("Drilled",Zone_Traduction,ref_langue,FALSE)</f>
        <v>Drilled</v>
      </c>
      <c r="R71" s="217" t="s">
        <v>867</v>
      </c>
      <c r="S71" s="125"/>
      <c r="T71" s="233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88">
        <v>21</v>
      </c>
      <c r="AF71" s="232" t="str">
        <f t="shared" si="10"/>
        <v>1-1-1-2-2-3-3-3-4-4-5-5-6-6-7-7-8-8-9-9-10</v>
      </c>
      <c r="AG71" s="58" t="str">
        <f t="shared" si="11"/>
        <v>1-</v>
      </c>
      <c r="AH71" s="58" t="str">
        <f t="shared" si="11"/>
        <v>1-</v>
      </c>
      <c r="AI71" s="58" t="str">
        <f t="shared" si="11"/>
        <v>1-</v>
      </c>
      <c r="AJ71" s="58" t="str">
        <f t="shared" si="11"/>
        <v>2-</v>
      </c>
      <c r="AK71" s="58" t="str">
        <f t="shared" si="11"/>
        <v>2-</v>
      </c>
      <c r="AL71" s="58" t="str">
        <f t="shared" si="11"/>
        <v>3-</v>
      </c>
      <c r="AM71" s="58" t="str">
        <f t="shared" si="11"/>
        <v>3-</v>
      </c>
      <c r="AN71" s="58" t="str">
        <f t="shared" si="11"/>
        <v>3-</v>
      </c>
      <c r="AO71" s="58" t="str">
        <f t="shared" si="11"/>
        <v>4-</v>
      </c>
      <c r="AP71" s="58" t="str">
        <f t="shared" si="11"/>
        <v>4-</v>
      </c>
      <c r="AQ71" s="58" t="str">
        <f t="shared" si="11"/>
        <v>5-</v>
      </c>
      <c r="AR71" s="58" t="str">
        <f t="shared" si="11"/>
        <v>5-</v>
      </c>
      <c r="AS71" s="58" t="str">
        <f t="shared" si="11"/>
        <v>6-</v>
      </c>
      <c r="AT71" s="58" t="str">
        <f t="shared" si="11"/>
        <v>6-</v>
      </c>
      <c r="AU71" s="58" t="str">
        <f t="shared" si="11"/>
        <v>7-</v>
      </c>
      <c r="AV71" s="58" t="str">
        <f t="shared" si="11"/>
        <v>7-</v>
      </c>
      <c r="AW71" s="58" t="str">
        <f>CONCATENATE(AW47,$AF$28)</f>
        <v>8-</v>
      </c>
      <c r="AX71" s="58" t="str">
        <f>CONCATENATE(AX47,$AF$28)</f>
        <v>8-</v>
      </c>
      <c r="AY71" s="58" t="str">
        <f>CONCATENATE(AY47,$AF$28)</f>
        <v>9-</v>
      </c>
      <c r="AZ71" s="58" t="str">
        <f>CONCATENATE(AZ47,$AF$28)</f>
        <v>9-</v>
      </c>
      <c r="BA71" s="58">
        <v>10</v>
      </c>
    </row>
    <row r="72" spans="2:55" ht="25" x14ac:dyDescent="0.25">
      <c r="B72" s="58" t="str">
        <f>IF(OR(List!E42="HF",List!E42="MF",List!E42="LF"),"infanterie",IF(OR(List!E42="KN",List!E42="CAT",List!E42="CV",List!E42="LH",List!E42="LCH",List!E42="HCH",List!E42="SCH",List!E42="EL"),"montes",IF(OR(List!E42="WWG",Lookup!H55="WGA"),"WWG","Special")))</f>
        <v>Special</v>
      </c>
      <c r="L72" s="125"/>
      <c r="M72" s="125"/>
      <c r="N72" s="125"/>
      <c r="O72" s="125"/>
      <c r="P72" s="125"/>
      <c r="Q72" s="236" t="str">
        <f ca="1">VLOOKUP("Undrilled",Zone_Traduction,ref_langue,FALSE)</f>
        <v>Undrilled</v>
      </c>
      <c r="R72" s="236" t="str">
        <f t="shared" ref="R72:R73" ca="1" si="12">T51</f>
        <v>Defensive Spearmen</v>
      </c>
      <c r="S72" s="125"/>
      <c r="T72" s="233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88">
        <v>22</v>
      </c>
      <c r="AF72" s="232" t="str">
        <f t="shared" si="10"/>
        <v>1-1-1-2-2-2-3-3-4-4-5-5-6-6-6-7-7-8-8-9-9-10</v>
      </c>
      <c r="AG72" s="58" t="str">
        <f t="shared" si="11"/>
        <v>1-</v>
      </c>
      <c r="AH72" s="58" t="str">
        <f t="shared" si="11"/>
        <v>1-</v>
      </c>
      <c r="AI72" s="58" t="str">
        <f t="shared" si="11"/>
        <v>1-</v>
      </c>
      <c r="AJ72" s="58" t="str">
        <f t="shared" si="11"/>
        <v>2-</v>
      </c>
      <c r="AK72" s="58" t="str">
        <f t="shared" si="11"/>
        <v>2-</v>
      </c>
      <c r="AL72" s="58" t="str">
        <f t="shared" si="11"/>
        <v>2-</v>
      </c>
      <c r="AM72" s="58" t="str">
        <f t="shared" si="11"/>
        <v>3-</v>
      </c>
      <c r="AN72" s="58" t="str">
        <f t="shared" si="11"/>
        <v>3-</v>
      </c>
      <c r="AO72" s="58" t="str">
        <f t="shared" si="11"/>
        <v>4-</v>
      </c>
      <c r="AP72" s="58" t="str">
        <f t="shared" si="11"/>
        <v>4-</v>
      </c>
      <c r="AQ72" s="58" t="str">
        <f t="shared" si="11"/>
        <v>5-</v>
      </c>
      <c r="AR72" s="58" t="str">
        <f t="shared" si="11"/>
        <v>5-</v>
      </c>
      <c r="AS72" s="58" t="str">
        <f t="shared" si="11"/>
        <v>6-</v>
      </c>
      <c r="AT72" s="58" t="str">
        <f t="shared" si="11"/>
        <v>6-</v>
      </c>
      <c r="AU72" s="58" t="str">
        <f t="shared" si="11"/>
        <v>6-</v>
      </c>
      <c r="AV72" s="58" t="str">
        <f t="shared" si="11"/>
        <v>7-</v>
      </c>
      <c r="AW72" s="58" t="str">
        <f>CONCATENATE(AW48,$AF$28)</f>
        <v>7-</v>
      </c>
      <c r="AX72" s="58" t="str">
        <f>CONCATENATE(AX48,$AF$28)</f>
        <v>8-</v>
      </c>
      <c r="AY72" s="58" t="str">
        <f>CONCATENATE(AY48,$AF$28)</f>
        <v>8-</v>
      </c>
      <c r="AZ72" s="58" t="str">
        <f>CONCATENATE(AZ48,$AF$28)</f>
        <v>9-</v>
      </c>
      <c r="BA72" s="58" t="str">
        <f>CONCATENATE(BA48,$AF$28)</f>
        <v>9-</v>
      </c>
      <c r="BB72" s="58">
        <v>10</v>
      </c>
    </row>
    <row r="73" spans="2:55" ht="24.75" customHeight="1" x14ac:dyDescent="0.25">
      <c r="B73" s="58" t="str">
        <f>IF(OR(List!E43="HF",List!E43="MF",List!E43="LF"),"infanterie",IF(OR(List!E43="KN",List!E43="CAT",List!E43="CV",List!E43="LH",List!E43="LCH",List!E43="HCH",List!E43="SCH",List!E43="EL"),"montes",IF(OR(List!E43="WWG",Lookup!H56="WGA"),"WWG","Special")))</f>
        <v>Special</v>
      </c>
      <c r="L73" s="125"/>
      <c r="M73" s="125"/>
      <c r="N73" s="125"/>
      <c r="O73" s="125"/>
      <c r="P73" s="125"/>
      <c r="Q73" s="233" t="s">
        <v>30</v>
      </c>
      <c r="R73" s="269" t="str">
        <f t="shared" ca="1" si="12"/>
        <v>Heavy Weapon</v>
      </c>
      <c r="S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239">
        <v>23</v>
      </c>
      <c r="AF73" s="240" t="str">
        <f>CONCATENATE(AG73,AH73,AI73,AJ73,AK73,AL73,AM73,AN73,AO73,AP73,AQ73,AR73,AS73,AT73,AU73,AV73,AW73,AX73,AY73,AZ73,BA73,BB73,BC73)</f>
        <v>----------------------10</v>
      </c>
      <c r="AG73" s="58" t="str">
        <f t="shared" si="11"/>
        <v>-</v>
      </c>
      <c r="AH73" s="58" t="str">
        <f t="shared" si="11"/>
        <v>-</v>
      </c>
      <c r="AI73" s="58" t="str">
        <f t="shared" si="11"/>
        <v>-</v>
      </c>
      <c r="AJ73" s="58" t="str">
        <f t="shared" si="11"/>
        <v>-</v>
      </c>
      <c r="AK73" s="58" t="str">
        <f t="shared" si="11"/>
        <v>-</v>
      </c>
      <c r="AL73" s="58" t="str">
        <f t="shared" si="11"/>
        <v>-</v>
      </c>
      <c r="AM73" s="58" t="str">
        <f t="shared" si="11"/>
        <v>-</v>
      </c>
      <c r="AN73" s="58" t="str">
        <f t="shared" si="11"/>
        <v>-</v>
      </c>
      <c r="AO73" s="58" t="str">
        <f t="shared" si="11"/>
        <v>-</v>
      </c>
      <c r="AP73" s="58" t="str">
        <f t="shared" si="11"/>
        <v>-</v>
      </c>
      <c r="AQ73" s="58" t="str">
        <f t="shared" si="11"/>
        <v>-</v>
      </c>
      <c r="AR73" s="58" t="str">
        <f t="shared" si="11"/>
        <v>-</v>
      </c>
      <c r="AS73" s="58" t="str">
        <f t="shared" si="11"/>
        <v>-</v>
      </c>
      <c r="AT73" s="58" t="str">
        <f t="shared" si="11"/>
        <v>-</v>
      </c>
      <c r="AU73" s="58" t="str">
        <f t="shared" si="11"/>
        <v>-</v>
      </c>
      <c r="AV73" s="58" t="str">
        <f t="shared" si="11"/>
        <v>-</v>
      </c>
      <c r="AW73" s="58" t="str">
        <f t="shared" ref="AW73:BB73" si="13">CONCATENATE(AW49,$AF$28)</f>
        <v>-</v>
      </c>
      <c r="AX73" s="58" t="str">
        <f t="shared" si="13"/>
        <v>-</v>
      </c>
      <c r="AY73" s="58" t="str">
        <f t="shared" si="13"/>
        <v>-</v>
      </c>
      <c r="AZ73" s="58" t="str">
        <f t="shared" si="13"/>
        <v>-</v>
      </c>
      <c r="BA73" s="58" t="str">
        <f t="shared" si="13"/>
        <v>-</v>
      </c>
      <c r="BB73" s="58" t="str">
        <f t="shared" si="13"/>
        <v>-</v>
      </c>
      <c r="BC73" s="58">
        <v>10</v>
      </c>
    </row>
    <row r="74" spans="2:55" ht="12.75" customHeight="1" x14ac:dyDescent="0.25">
      <c r="B74" s="58" t="str">
        <f>IF(OR(List!E44="HF",List!E44="MF",List!E44="LF"),"infanterie",IF(OR(List!E44="KN",List!E44="CAT",List!E44="CV",List!E44="LH",List!E44="LCH",List!E44="HCH",List!E44="SCH",List!E44="EL"),"montes",IF(OR(List!E44="WWG",Lookup!H57="WGA"),"WWG","Special")))</f>
        <v>Special</v>
      </c>
      <c r="L74" s="125"/>
      <c r="M74" s="125"/>
      <c r="N74" s="125"/>
      <c r="O74" s="125"/>
      <c r="P74" s="125"/>
      <c r="Q74" s="233"/>
      <c r="R74" s="269" t="str">
        <f ca="1">T53</f>
        <v>Impact Foot</v>
      </c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241"/>
    </row>
    <row r="75" spans="2:55" ht="12.75" customHeight="1" x14ac:dyDescent="0.25">
      <c r="B75" s="58" t="str">
        <f>IF(OR(List!E45="HF",List!E45="MF",List!E45="LF"),"infanterie",IF(OR(List!E45="KN",List!E45="CAT",List!E45="CV",List!E45="LH",List!E45="LCH",List!E45="HCH",List!E45="SCH",List!E45="EL"),"montes",IF(OR(List!E45="WWG",Lookup!H58="WGA"),"WWG","Special")))</f>
        <v>Special</v>
      </c>
      <c r="L75" s="125"/>
      <c r="M75" s="125"/>
      <c r="N75" s="125"/>
      <c r="O75" s="125"/>
      <c r="P75" s="125"/>
      <c r="Q75" s="233"/>
      <c r="R75" s="269" t="str">
        <f ca="1">T54</f>
        <v>Impact Foot Heavy Weapon</v>
      </c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241"/>
    </row>
    <row r="76" spans="2:55" ht="12.75" customHeight="1" x14ac:dyDescent="0.25">
      <c r="B76" s="58" t="str">
        <f>IF(OR(List!E46="HF",List!E46="MF",List!E46="LF"),"infanterie",IF(OR(List!E46="KN",List!E46="CAT",List!E46="CV",List!E46="LH",List!E46="LCH",List!E46="HCH",List!E46="SCH",List!E46="EL"),"montes",IF(OR(List!E46="WWG",Lookup!H59="WGA"),"WWG","Special")))</f>
        <v>Special</v>
      </c>
      <c r="L76" s="125"/>
      <c r="M76" s="125"/>
      <c r="N76" s="125"/>
      <c r="O76" s="125"/>
      <c r="P76" s="125"/>
      <c r="Q76" s="233"/>
      <c r="R76" s="236" t="str">
        <f ca="1">T55</f>
        <v>Impact Foot Skilled Swordsmen</v>
      </c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241"/>
    </row>
    <row r="77" spans="2:55" ht="12.75" customHeight="1" x14ac:dyDescent="0.25">
      <c r="B77" s="58" t="str">
        <f>IF(OR(List!E47="HF",List!E47="MF",List!E47="LF"),"infanterie",IF(OR(List!E47="KN",List!E47="CAT",List!E47="CV",List!E47="LH",List!E47="LCH",List!E47="HCH",List!E47="SCH",List!E47="EL"),"montes",IF(OR(List!E47="WWG",Lookup!H60="WGA"),"WWG","Special")))</f>
        <v>Special</v>
      </c>
      <c r="L77" s="125"/>
      <c r="M77" s="242"/>
      <c r="N77" s="125"/>
      <c r="O77" s="125"/>
      <c r="P77" s="125"/>
      <c r="Q77" s="233"/>
      <c r="R77" s="270" t="str">
        <f ca="1">T56</f>
        <v>Impact Foot Swordsmen</v>
      </c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241"/>
    </row>
    <row r="78" spans="2:55" ht="17.25" customHeight="1" x14ac:dyDescent="0.25">
      <c r="B78" s="58" t="str">
        <f>IF(OR(List!E48="HF",List!E48="MF",List!E48="LF"),"infanterie",IF(OR(List!E48="KN",List!E48="CAT",List!E48="CV",List!E48="LH",List!E48="LCH",List!E48="HCH",List!E48="SCH",List!E48="EL"),"montes",IF(OR(List!E48="WWG",Lookup!H61="WGA"),"WWG","Special")))</f>
        <v>Special</v>
      </c>
      <c r="L78" s="125"/>
      <c r="M78" s="243"/>
      <c r="N78" s="79"/>
      <c r="O78" s="125"/>
      <c r="P78" s="125"/>
      <c r="Q78" s="233"/>
      <c r="R78" s="270" t="str">
        <f ca="1">T57</f>
        <v>Light Spear Heavy Weapon</v>
      </c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241"/>
    </row>
    <row r="79" spans="2:55" ht="14.25" customHeight="1" x14ac:dyDescent="0.25">
      <c r="B79" s="58" t="str">
        <f>IF(OR(List!E49="HF",List!E49="MF",List!E49="LF"),"infanterie",IF(OR(List!E49="KN",List!E49="CAT",List!E49="CV",List!E49="LH",List!E49="LCH",List!E49="HCH",List!E49="SCH",List!E49="EL"),"montes",IF(OR(List!E49="WWG",Lookup!H62="WGA"),"WWG","Special")))</f>
        <v>Special</v>
      </c>
      <c r="L79" s="125"/>
      <c r="M79" s="243"/>
      <c r="N79" s="125"/>
      <c r="O79" s="125"/>
      <c r="P79" s="125"/>
      <c r="Q79" s="233"/>
      <c r="R79" s="236" t="str">
        <f ca="1">T58</f>
        <v>Light Spear Skilled Swordsmen</v>
      </c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241"/>
    </row>
    <row r="80" spans="2:55" ht="13.5" customHeight="1" x14ac:dyDescent="0.25">
      <c r="B80" s="58" t="str">
        <f>IF(OR(List!E50="HF",List!E50="MF",List!E50="LF"),"infanterie",IF(OR(List!E50="KN",List!E50="CAT",List!E50="CV",List!E50="LH",List!E50="LCH",List!E50="HCH",List!E50="SCH",List!E50="EL"),"montes",IF(OR(List!E50="WWG",Lookup!H63="WGA"),"WWG","Special")))</f>
        <v>Special</v>
      </c>
      <c r="L80" s="125"/>
      <c r="M80" s="243"/>
      <c r="N80" s="125"/>
      <c r="O80" s="125"/>
      <c r="P80" s="125"/>
      <c r="Q80" s="233"/>
      <c r="R80" s="236" t="str">
        <f ca="1">T47</f>
        <v>Light spear Swordsmen</v>
      </c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241"/>
    </row>
    <row r="81" spans="2:32" ht="13.5" customHeight="1" x14ac:dyDescent="0.25">
      <c r="B81" s="58" t="str">
        <f>IF(OR(List!E51="HF",List!E51="MF",List!E51="LF"),"infanterie",IF(OR(List!E51="KN",List!E51="CAT",List!E51="CV",List!E51="LH",List!E51="LCH",List!E51="HCH",List!E51="SCH",List!E51="EL"),"montes",IF(OR(List!E51="WWG",Lookup!H64="WGA"),"WWG","Special")))</f>
        <v>Special</v>
      </c>
      <c r="L81" s="125"/>
      <c r="M81" s="243"/>
      <c r="N81" s="125"/>
      <c r="O81" s="125"/>
      <c r="P81" s="125"/>
      <c r="Q81" s="233"/>
      <c r="R81" s="236" t="str">
        <f ca="1">T49</f>
        <v>Light Spear</v>
      </c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241"/>
    </row>
    <row r="82" spans="2:32" ht="13.5" customHeight="1" x14ac:dyDescent="0.25">
      <c r="B82" s="58" t="str">
        <f>IF(OR(List!E52="HF",List!E52="MF",List!E52="LF"),"infanterie",IF(OR(List!E52="KN",List!E52="CAT",List!E52="CV",List!E52="LH",List!E52="LCH",List!E52="HCH",List!E52="SCH",List!E52="EL"),"montes",IF(OR(List!E52="WWG",Lookup!H65="WGA"),"WWG","Special")))</f>
        <v>Special</v>
      </c>
      <c r="L82" s="125"/>
      <c r="M82" s="243"/>
      <c r="N82" s="125"/>
      <c r="O82" s="125"/>
      <c r="P82" s="125"/>
      <c r="Q82" s="233"/>
      <c r="R82" s="236" t="str">
        <f ca="1">T59</f>
        <v>Offensive Spearmen</v>
      </c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241"/>
    </row>
    <row r="83" spans="2:32" ht="13.5" customHeight="1" x14ac:dyDescent="0.25">
      <c r="B83" s="58" t="str">
        <f>IF(OR(List!E53="HF",List!E53="MF",List!E53="LF"),"infanterie",IF(OR(List!E53="KN",List!E53="CAT",List!E53="CV",List!E53="LH",List!E53="LCH",List!E53="HCH",List!E53="SCH",List!E53="EL"),"montes",IF(OR(List!E53="WWG",Lookup!H66="WGA"),"WWG","Special")))</f>
        <v>Special</v>
      </c>
      <c r="L83" s="125"/>
      <c r="M83" s="35"/>
      <c r="N83" s="125"/>
      <c r="O83" s="125"/>
      <c r="P83" s="125"/>
      <c r="Q83" s="233"/>
      <c r="R83" s="270" t="str">
        <f ca="1">T60</f>
        <v>Pike</v>
      </c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241"/>
    </row>
    <row r="84" spans="2:32" ht="13.5" customHeight="1" x14ac:dyDescent="0.25">
      <c r="L84" s="125"/>
      <c r="M84" s="35"/>
      <c r="N84" s="125"/>
      <c r="O84" s="125"/>
      <c r="P84" s="125"/>
      <c r="Q84" s="233"/>
      <c r="R84" s="236" t="str">
        <f>T62</f>
        <v>Polearm</v>
      </c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241"/>
    </row>
    <row r="85" spans="2:32" ht="12.5" x14ac:dyDescent="0.25">
      <c r="M85" s="35"/>
      <c r="R85" s="236" t="str">
        <f ca="1">T61</f>
        <v>Skilled Swordsmen</v>
      </c>
      <c r="T85" s="125"/>
    </row>
    <row r="86" spans="2:32" ht="12.75" customHeight="1" x14ac:dyDescent="0.25">
      <c r="C86" s="244" t="s">
        <v>30</v>
      </c>
      <c r="D86" s="21" t="str">
        <f ca="1">VLOOKUP("Unprotected",Zone_Traduction,ref_langue,FALSE)</f>
        <v>Unprotected</v>
      </c>
      <c r="E86" s="11" t="str">
        <f ca="1">VLOOKUP("Elite",Zone_Traduction,ref_langue,FALSE)</f>
        <v>Elite</v>
      </c>
      <c r="F86" s="14" t="str">
        <f ca="1">VLOOKUP("Drilled",Zone_Traduction,ref_langue,FALSE)</f>
        <v>Drilled</v>
      </c>
      <c r="G86" s="14" t="s">
        <v>30</v>
      </c>
      <c r="H86" s="20" t="s">
        <v>30</v>
      </c>
      <c r="I86" s="42" t="str">
        <f ca="1">VLOOKUP("Yes",Zone_Traduction,ref_langue,FALSE)</f>
        <v>Yes</v>
      </c>
      <c r="L86" s="20" t="s">
        <v>46</v>
      </c>
      <c r="M86" s="35"/>
      <c r="Q86" s="125"/>
      <c r="R86" s="236" t="str">
        <f ca="1">T50</f>
        <v>Swordsmen</v>
      </c>
      <c r="T86" s="125"/>
    </row>
    <row r="87" spans="2:32" ht="12.75" customHeight="1" x14ac:dyDescent="0.3">
      <c r="C87" s="41" t="s">
        <v>9</v>
      </c>
      <c r="D87" s="22" t="str">
        <f ca="1">VLOOKUP("Protected",Zone_Traduction,ref_langue,FALSE)</f>
        <v>Protected</v>
      </c>
      <c r="E87" s="12" t="str">
        <f ca="1">VLOOKUP("Superior",Zone_Traduction,ref_langue,FALSE)</f>
        <v>Superior</v>
      </c>
      <c r="F87" s="6" t="str">
        <f ca="1">VLOOKUP("Undrilled",Zone_Traduction,ref_langue,FALSE)</f>
        <v>Undrilled</v>
      </c>
      <c r="G87" s="6" t="str">
        <f ca="1">VLOOKUP("Bow",Zone_Traduction,ref_langue,FALSE)</f>
        <v>Bow</v>
      </c>
      <c r="H87" s="12" t="s">
        <v>618</v>
      </c>
      <c r="I87" s="43" t="str">
        <f ca="1">VLOOKUP("No",Zone_Traduction,ref_langue,FALSE)</f>
        <v>No</v>
      </c>
      <c r="L87" s="12" t="str">
        <f ca="1">VLOOKUP("Agricultural",Zone_Traduction,ref_langue,FALSE)</f>
        <v>Agricultural</v>
      </c>
      <c r="M87" s="35"/>
      <c r="Q87" s="125"/>
      <c r="R87" s="236" t="s">
        <v>30</v>
      </c>
      <c r="T87" s="125"/>
    </row>
    <row r="88" spans="2:32" ht="13" x14ac:dyDescent="0.3">
      <c r="C88" s="41" t="s">
        <v>8</v>
      </c>
      <c r="D88" s="22" t="str">
        <f ca="1">VLOOKUP("Armoured",Zone_Traduction,ref_langue,FALSE)</f>
        <v>Armoured</v>
      </c>
      <c r="E88" s="12" t="str">
        <f ca="1">VLOOKUP("Average",Zone_Traduction,ref_langue,FALSE)</f>
        <v>Average</v>
      </c>
      <c r="F88" s="9" t="s">
        <v>30</v>
      </c>
      <c r="G88" s="6" t="str">
        <f ca="1">VLOOKUP("Bw*",Zone_Traduction,ref_langue,FALSE)</f>
        <v>Bw*</v>
      </c>
      <c r="H88" s="13" t="s">
        <v>619</v>
      </c>
      <c r="I88" s="35"/>
      <c r="J88" s="222" t="s">
        <v>30</v>
      </c>
      <c r="K88" s="79"/>
      <c r="L88" s="12" t="str">
        <f ca="1">VLOOKUP("Desert",Zone_Traduction,ref_langue,FALSE)</f>
        <v>Desert</v>
      </c>
      <c r="M88" s="35"/>
      <c r="Q88" s="125"/>
      <c r="R88" s="236"/>
    </row>
    <row r="89" spans="2:32" ht="13" x14ac:dyDescent="0.3">
      <c r="C89" s="41" t="s">
        <v>7</v>
      </c>
      <c r="D89" s="22" t="str">
        <f ca="1">VLOOKUP("Heavily armoured",Zone_Traduction,ref_langue,FALSE)</f>
        <v>Heavily Armoured</v>
      </c>
      <c r="E89" s="12" t="str">
        <f ca="1">VLOOKUP("Poor",Zone_Traduction,ref_langue,FALSE)</f>
        <v>Poor</v>
      </c>
      <c r="F89" s="54"/>
      <c r="G89" s="12" t="str">
        <f ca="1">VLOOKUP("Crossbow",Zone_Traduction,ref_langue,FALSE)</f>
        <v>Crossbow</v>
      </c>
      <c r="H89" s="35"/>
      <c r="I89" s="35"/>
      <c r="J89" s="12" t="str">
        <f ca="1">VLOOKUP("Camelry",Zone_Traduction,ref_langue,FALSE)</f>
        <v>Camelry</v>
      </c>
      <c r="K89" s="79"/>
      <c r="L89" s="12" t="str">
        <f ca="1">VLOOKUP("Developed",Zone_Traduction,ref_langue,FALSE)</f>
        <v>Developed</v>
      </c>
      <c r="M89" s="35"/>
      <c r="Q89" s="125"/>
      <c r="R89" s="270" t="s">
        <v>868</v>
      </c>
    </row>
    <row r="90" spans="2:32" ht="12.5" x14ac:dyDescent="0.25">
      <c r="C90" s="12" t="s">
        <v>258</v>
      </c>
      <c r="D90" s="23" t="s">
        <v>30</v>
      </c>
      <c r="E90" s="13" t="s">
        <v>30</v>
      </c>
      <c r="F90" s="54"/>
      <c r="G90" s="12" t="str">
        <f ca="1">VLOOKUP("Firearm",Zone_Traduction,ref_langue,FALSE)</f>
        <v>Firearm</v>
      </c>
      <c r="H90" s="35"/>
      <c r="I90" s="35"/>
      <c r="J90" s="13" t="str">
        <f ca="1">VLOOKUP("Port Def.",Zone_Traduction,ref_langue,FALSE)</f>
        <v>Port Def.</v>
      </c>
      <c r="K90" s="79"/>
      <c r="L90" s="12" t="str">
        <f ca="1">VLOOKUP("Hilly",Zone_Traduction,ref_langue,FALSE)</f>
        <v>Hilly</v>
      </c>
      <c r="M90" s="245"/>
      <c r="Q90" s="125"/>
      <c r="R90" s="236" t="str">
        <f ca="1">T52</f>
        <v>Heavy Weapon</v>
      </c>
    </row>
    <row r="91" spans="2:32" ht="12.75" customHeight="1" x14ac:dyDescent="0.25">
      <c r="C91" s="12" t="s">
        <v>10</v>
      </c>
      <c r="D91" s="54"/>
      <c r="E91" s="54"/>
      <c r="F91" s="54"/>
      <c r="G91" s="12" t="str">
        <f ca="1">VLOOKUP("Heavy artillery",Zone_Traduction,ref_langue,FALSE)</f>
        <v>Heavy Artillery</v>
      </c>
      <c r="H91" s="35"/>
      <c r="I91" s="35"/>
      <c r="J91" s="35"/>
      <c r="K91" s="79"/>
      <c r="L91" s="12" t="str">
        <f ca="1">VLOOKUP("Mountain",Zone_Traduction,ref_langue,FALSE)</f>
        <v>Mountain</v>
      </c>
      <c r="M91" s="245"/>
      <c r="Q91" s="125"/>
      <c r="R91" s="236" t="s">
        <v>848</v>
      </c>
    </row>
    <row r="92" spans="2:32" ht="12.75" customHeight="1" x14ac:dyDescent="0.25">
      <c r="C92" s="12" t="s">
        <v>585</v>
      </c>
      <c r="D92" s="54"/>
      <c r="E92" s="54"/>
      <c r="F92" s="54"/>
      <c r="G92" s="12" t="str">
        <f ca="1">VLOOKUP("Javelins",Zone_Traduction,ref_langue,FALSE)</f>
        <v>Javelins</v>
      </c>
      <c r="H92" s="35"/>
      <c r="I92" s="35"/>
      <c r="K92" s="79"/>
      <c r="L92" s="12" t="str">
        <f ca="1">VLOOKUP("Steppe",Zone_Traduction,ref_langue,FALSE)</f>
        <v>Steppe</v>
      </c>
      <c r="M92" s="245"/>
      <c r="Q92" s="244" t="s">
        <v>30</v>
      </c>
      <c r="R92" s="238" t="s">
        <v>30</v>
      </c>
    </row>
    <row r="93" spans="2:32" ht="12.75" customHeight="1" x14ac:dyDescent="0.25">
      <c r="C93" s="12" t="s">
        <v>188</v>
      </c>
      <c r="D93" s="54"/>
      <c r="E93" s="54"/>
      <c r="F93" s="54"/>
      <c r="G93" s="12" t="str">
        <f ca="1">VLOOKUP("Light artillery",Zone_Traduction,ref_langue,FALSE)</f>
        <v>Light Artillery</v>
      </c>
      <c r="H93" s="35"/>
      <c r="I93" s="54"/>
      <c r="K93" s="79"/>
      <c r="L93" s="12" t="str">
        <f ca="1">VLOOKUP("Tropical",Zone_Traduction,ref_langue,FALSE)</f>
        <v>Tropical</v>
      </c>
      <c r="M93" s="245"/>
      <c r="Q93" s="12" t="str">
        <f ca="1">T51</f>
        <v>Defensive Spearmen</v>
      </c>
      <c r="R93" s="238"/>
    </row>
    <row r="94" spans="2:32" ht="12.75" customHeight="1" x14ac:dyDescent="0.25">
      <c r="C94" s="12" t="s">
        <v>586</v>
      </c>
      <c r="D94" s="54"/>
      <c r="E94" s="54"/>
      <c r="F94" s="54"/>
      <c r="G94" s="12" t="str">
        <f ca="1">VLOOKUP("Longbow",Zone_Traduction,ref_langue,FALSE)</f>
        <v>Longbow</v>
      </c>
      <c r="H94" s="54"/>
      <c r="I94" s="54"/>
      <c r="J94" s="217"/>
      <c r="K94" s="79"/>
      <c r="L94" s="13" t="str">
        <f ca="1">VLOOKUP("Woodland",Zone_Traduction,ref_langue,FALSE)</f>
        <v>Woodland</v>
      </c>
      <c r="M94" s="245"/>
      <c r="Q94" s="12" t="str">
        <f ca="1">T52</f>
        <v>Heavy Weapon</v>
      </c>
      <c r="R94" s="238"/>
    </row>
    <row r="95" spans="2:32" ht="12.75" customHeight="1" x14ac:dyDescent="0.25">
      <c r="C95" s="12" t="s">
        <v>182</v>
      </c>
      <c r="D95" s="54"/>
      <c r="E95" s="54"/>
      <c r="F95" s="54"/>
      <c r="G95" s="13" t="str">
        <f ca="1">VLOOKUP("Sling",Zone_Traduction,ref_langue,FALSE)</f>
        <v>Sling</v>
      </c>
      <c r="H95" s="54"/>
      <c r="I95" s="54"/>
      <c r="J95" s="217"/>
      <c r="K95" s="79"/>
      <c r="L95" s="54"/>
      <c r="M95" s="245"/>
      <c r="Q95" s="12" t="str">
        <f ca="1">T55</f>
        <v>Impact Foot Skilled Swordsmen</v>
      </c>
      <c r="R95" s="238"/>
    </row>
    <row r="96" spans="2:32" ht="12.75" customHeight="1" x14ac:dyDescent="0.25">
      <c r="C96" s="12" t="s">
        <v>181</v>
      </c>
      <c r="D96" s="54"/>
      <c r="E96" s="54"/>
      <c r="F96" s="54"/>
      <c r="G96" s="54"/>
      <c r="H96" s="54"/>
      <c r="I96" s="54"/>
      <c r="J96" s="217"/>
      <c r="K96" s="79"/>
      <c r="L96" s="54"/>
      <c r="M96" s="245"/>
      <c r="Q96" s="12" t="str">
        <f ca="1">T56</f>
        <v>Impact Foot Swordsmen</v>
      </c>
      <c r="R96" s="238"/>
    </row>
    <row r="97" spans="1:33" ht="12.75" customHeight="1" x14ac:dyDescent="0.25">
      <c r="C97" s="12" t="s">
        <v>183</v>
      </c>
      <c r="D97" s="54"/>
      <c r="E97" s="54"/>
      <c r="F97" s="54"/>
      <c r="G97" s="54"/>
      <c r="H97" s="54"/>
      <c r="I97" s="54"/>
      <c r="J97" s="222" t="s">
        <v>30</v>
      </c>
      <c r="K97" s="246">
        <v>0</v>
      </c>
      <c r="L97" s="54"/>
      <c r="M97" s="245"/>
      <c r="Q97" s="12" t="str">
        <f ca="1">T46</f>
        <v>Lancer Swordsmen</v>
      </c>
    </row>
    <row r="98" spans="1:33" ht="12.75" customHeight="1" x14ac:dyDescent="0.25">
      <c r="C98" s="12" t="s">
        <v>11</v>
      </c>
      <c r="D98" s="54"/>
      <c r="E98" s="54"/>
      <c r="F98" s="54"/>
      <c r="G98" s="54"/>
      <c r="H98" s="54"/>
      <c r="I98" s="54"/>
      <c r="J98" s="224" t="s">
        <v>616</v>
      </c>
      <c r="K98" s="247">
        <v>40</v>
      </c>
      <c r="L98" s="54"/>
      <c r="Q98" s="12" t="str">
        <f ca="1">T49</f>
        <v>Light Spear</v>
      </c>
    </row>
    <row r="99" spans="1:33" ht="12.75" customHeight="1" x14ac:dyDescent="0.25">
      <c r="A99" s="60"/>
      <c r="B99" s="249"/>
      <c r="C99" s="12" t="s">
        <v>184</v>
      </c>
      <c r="D99" s="54"/>
      <c r="E99" s="54"/>
      <c r="F99" s="54"/>
      <c r="G99" s="54"/>
      <c r="H99" s="54"/>
      <c r="I99" s="54"/>
      <c r="J99" s="224" t="s">
        <v>904</v>
      </c>
      <c r="K99" s="247">
        <v>80</v>
      </c>
      <c r="L99" s="54"/>
      <c r="Q99" s="12" t="str">
        <f ca="1">T58</f>
        <v>Light Spear Skilled Swordsmen</v>
      </c>
    </row>
    <row r="100" spans="1:33" ht="12.75" customHeight="1" x14ac:dyDescent="0.25">
      <c r="A100" s="60"/>
      <c r="B100" s="249"/>
      <c r="C100" s="12" t="s">
        <v>185</v>
      </c>
      <c r="D100" s="54"/>
      <c r="E100" s="54"/>
      <c r="F100" s="54"/>
      <c r="G100" s="250"/>
      <c r="H100" s="249"/>
      <c r="I100" s="54"/>
      <c r="J100" s="227" t="s">
        <v>617</v>
      </c>
      <c r="K100" s="251">
        <v>30</v>
      </c>
      <c r="L100" s="54"/>
      <c r="Q100" s="12" t="str">
        <f ca="1">T47</f>
        <v>Light spear Swordsmen</v>
      </c>
    </row>
    <row r="101" spans="1:33" ht="12.75" customHeight="1" x14ac:dyDescent="0.25">
      <c r="A101" s="60"/>
      <c r="B101" s="249"/>
      <c r="C101" s="13" t="s">
        <v>186</v>
      </c>
      <c r="D101" s="54"/>
      <c r="E101" s="54"/>
      <c r="F101" s="54"/>
      <c r="G101" s="54"/>
      <c r="H101" s="54"/>
      <c r="I101" s="54"/>
      <c r="J101" s="217"/>
      <c r="K101" s="79"/>
      <c r="L101" s="54"/>
      <c r="Q101" s="12" t="str">
        <f ca="1">T59</f>
        <v>Offensive Spearmen</v>
      </c>
    </row>
    <row r="102" spans="1:33" ht="12.75" customHeight="1" x14ac:dyDescent="0.25">
      <c r="C102" s="249"/>
      <c r="D102" s="54"/>
      <c r="E102" s="54"/>
      <c r="F102" s="54"/>
      <c r="G102" s="54"/>
      <c r="H102" s="54"/>
      <c r="I102" s="54"/>
      <c r="J102" s="217" t="s">
        <v>901</v>
      </c>
      <c r="K102" s="79">
        <v>40</v>
      </c>
      <c r="L102" s="54"/>
      <c r="Q102" s="12" t="str">
        <f ca="1">T60</f>
        <v>Pike</v>
      </c>
    </row>
    <row r="103" spans="1:33" ht="12.75" customHeight="1" x14ac:dyDescent="0.25">
      <c r="C103" s="249"/>
      <c r="D103" s="54"/>
      <c r="E103" s="54"/>
      <c r="F103" s="54"/>
      <c r="G103" s="54"/>
      <c r="H103" s="54"/>
      <c r="I103" s="54"/>
      <c r="J103" s="217" t="s">
        <v>902</v>
      </c>
      <c r="K103" s="79">
        <v>80</v>
      </c>
      <c r="L103" s="54"/>
      <c r="Q103" s="248" t="str">
        <f>T62</f>
        <v>Polearm</v>
      </c>
    </row>
    <row r="104" spans="1:33" ht="12.75" customHeight="1" x14ac:dyDescent="0.25">
      <c r="C104" s="249"/>
      <c r="D104" s="54"/>
      <c r="E104" s="54"/>
      <c r="F104" s="54"/>
      <c r="G104" s="54"/>
      <c r="H104" s="54"/>
      <c r="I104" s="54"/>
      <c r="J104" s="217" t="s">
        <v>903</v>
      </c>
      <c r="K104" s="79">
        <v>30</v>
      </c>
      <c r="L104" s="54"/>
      <c r="Q104" s="12" t="str">
        <f ca="1">T61</f>
        <v>Skilled Swordsmen</v>
      </c>
    </row>
    <row r="105" spans="1:33" ht="12.75" customHeight="1" x14ac:dyDescent="0.25">
      <c r="C105" s="35"/>
      <c r="D105" s="54"/>
      <c r="E105" s="54"/>
      <c r="F105" s="54"/>
      <c r="G105" s="54"/>
      <c r="H105" s="54"/>
      <c r="I105" s="54"/>
      <c r="J105" s="217"/>
      <c r="K105" s="79"/>
      <c r="L105" s="54"/>
      <c r="Q105" s="13" t="str">
        <f ca="1">T50</f>
        <v>Swordsmen</v>
      </c>
    </row>
    <row r="106" spans="1:33" ht="12.75" customHeight="1" x14ac:dyDescent="0.35">
      <c r="C106" s="252"/>
      <c r="J106" s="217"/>
      <c r="K106" s="79"/>
    </row>
    <row r="107" spans="1:33" ht="12.75" customHeight="1" x14ac:dyDescent="0.25">
      <c r="B107" s="253" t="s">
        <v>267</v>
      </c>
      <c r="C107" s="254">
        <v>0</v>
      </c>
      <c r="D107" s="255">
        <v>1</v>
      </c>
      <c r="E107" s="256">
        <v>2</v>
      </c>
      <c r="F107" s="256">
        <v>3</v>
      </c>
      <c r="G107" s="257">
        <v>4</v>
      </c>
      <c r="H107" s="257">
        <v>6</v>
      </c>
      <c r="I107" s="257">
        <v>8</v>
      </c>
      <c r="J107" s="257">
        <v>9</v>
      </c>
      <c r="K107" s="217">
        <v>10</v>
      </c>
      <c r="L107" s="79">
        <v>12</v>
      </c>
      <c r="AF107" s="58"/>
      <c r="AG107" s="128"/>
    </row>
    <row r="108" spans="1:33" ht="12.75" customHeight="1" x14ac:dyDescent="0.35">
      <c r="B108" s="6" t="str">
        <f ca="1">VLOOKUP("Elite",Zone_Traduction,ref_langue,FALSE)</f>
        <v>Elite</v>
      </c>
      <c r="C108" s="258" t="s">
        <v>30</v>
      </c>
      <c r="D108" s="259"/>
      <c r="E108" s="260">
        <v>1</v>
      </c>
      <c r="F108" s="260">
        <v>2</v>
      </c>
      <c r="G108" s="259">
        <v>3</v>
      </c>
      <c r="H108" s="259">
        <v>4</v>
      </c>
      <c r="I108" s="259">
        <v>5</v>
      </c>
      <c r="J108" s="259">
        <v>6</v>
      </c>
      <c r="K108" s="124">
        <v>7</v>
      </c>
      <c r="L108" s="125">
        <v>8</v>
      </c>
      <c r="AF108" s="58"/>
      <c r="AG108" s="128"/>
    </row>
    <row r="109" spans="1:33" ht="12.75" customHeight="1" x14ac:dyDescent="0.35">
      <c r="B109" s="6" t="str">
        <f ca="1">VLOOKUP("Superior",Zone_Traduction,ref_langue,FALSE)</f>
        <v>Superior</v>
      </c>
      <c r="C109" s="258" t="s">
        <v>30</v>
      </c>
      <c r="D109" s="259"/>
      <c r="E109" s="7">
        <v>1</v>
      </c>
      <c r="F109" s="7">
        <v>2</v>
      </c>
      <c r="G109" s="259">
        <v>3</v>
      </c>
      <c r="H109" s="259">
        <v>4</v>
      </c>
      <c r="I109" s="259">
        <v>5</v>
      </c>
      <c r="J109" s="259">
        <v>5</v>
      </c>
      <c r="K109" s="257">
        <v>6</v>
      </c>
      <c r="L109" s="261">
        <v>7</v>
      </c>
      <c r="AF109" s="58"/>
      <c r="AG109" s="128"/>
    </row>
    <row r="110" spans="1:33" ht="12.75" customHeight="1" x14ac:dyDescent="0.25">
      <c r="B110" s="6" t="str">
        <f ca="1">VLOOKUP("Average",Zone_Traduction,ref_langue,FALSE)</f>
        <v>Average</v>
      </c>
      <c r="C110" s="258" t="s">
        <v>30</v>
      </c>
      <c r="D110" s="259"/>
      <c r="E110" s="8">
        <v>1</v>
      </c>
      <c r="F110" s="8">
        <v>2</v>
      </c>
      <c r="G110" s="259">
        <v>2</v>
      </c>
      <c r="H110" s="259">
        <v>3</v>
      </c>
      <c r="I110" s="259">
        <v>4</v>
      </c>
      <c r="J110" s="259">
        <v>4</v>
      </c>
      <c r="K110" s="259">
        <v>5</v>
      </c>
      <c r="L110" s="141">
        <v>5</v>
      </c>
      <c r="AF110" s="58"/>
      <c r="AG110" s="128"/>
    </row>
    <row r="111" spans="1:33" ht="12.75" customHeight="1" x14ac:dyDescent="0.25">
      <c r="B111" s="6" t="str">
        <f ca="1">VLOOKUP("Poor",Zone_Traduction,ref_langue,FALSE)</f>
        <v>Poor</v>
      </c>
      <c r="C111" s="258" t="s">
        <v>30</v>
      </c>
      <c r="D111" s="259"/>
      <c r="E111" s="259">
        <v>1</v>
      </c>
      <c r="F111" s="259">
        <v>1</v>
      </c>
      <c r="G111" s="259">
        <v>2</v>
      </c>
      <c r="H111" s="259">
        <v>2</v>
      </c>
      <c r="I111" s="259">
        <v>3</v>
      </c>
      <c r="J111" s="259">
        <v>3</v>
      </c>
      <c r="K111" s="259">
        <v>4</v>
      </c>
      <c r="L111" s="141">
        <v>4</v>
      </c>
      <c r="AF111" s="58"/>
      <c r="AG111" s="128"/>
    </row>
    <row r="112" spans="1:33" ht="12.75" customHeight="1" x14ac:dyDescent="0.3">
      <c r="B112" s="10" t="s">
        <v>30</v>
      </c>
      <c r="C112" s="258" t="s">
        <v>30</v>
      </c>
      <c r="D112" s="37" t="s">
        <v>30</v>
      </c>
      <c r="E112" s="262">
        <v>0</v>
      </c>
      <c r="F112" s="262">
        <v>0</v>
      </c>
      <c r="G112" s="262">
        <v>0</v>
      </c>
      <c r="H112" s="262">
        <v>0</v>
      </c>
      <c r="I112" s="262">
        <v>0</v>
      </c>
      <c r="J112" s="263">
        <v>0</v>
      </c>
      <c r="K112" s="259">
        <v>0</v>
      </c>
      <c r="L112" s="141">
        <v>0</v>
      </c>
      <c r="AF112" s="58"/>
      <c r="AG112" s="128"/>
    </row>
    <row r="113" spans="3:11" ht="12.75" customHeight="1" x14ac:dyDescent="0.25">
      <c r="J113" s="259"/>
      <c r="K113" s="141"/>
    </row>
    <row r="114" spans="3:11" ht="12.75" customHeight="1" x14ac:dyDescent="0.25">
      <c r="J114" s="262"/>
      <c r="K114" s="264"/>
    </row>
    <row r="118" spans="3:11" ht="12.75" customHeight="1" x14ac:dyDescent="0.3">
      <c r="C118" s="265"/>
      <c r="D118" s="266"/>
    </row>
    <row r="119" spans="3:11" ht="12.75" customHeight="1" x14ac:dyDescent="0.3">
      <c r="C119" s="150"/>
      <c r="D119" s="266"/>
    </row>
    <row r="120" spans="3:11" ht="12.75" customHeight="1" x14ac:dyDescent="0.3">
      <c r="C120" s="150"/>
      <c r="D120" s="266"/>
    </row>
    <row r="121" spans="3:11" ht="12.75" customHeight="1" x14ac:dyDescent="0.25">
      <c r="C121" s="150"/>
      <c r="D121" s="267"/>
      <c r="E121" s="150"/>
      <c r="F121" s="150"/>
    </row>
    <row r="122" spans="3:11" ht="12.75" customHeight="1" x14ac:dyDescent="0.25">
      <c r="C122" s="150"/>
      <c r="D122" s="267"/>
      <c r="E122" s="150"/>
      <c r="F122" s="150"/>
    </row>
    <row r="123" spans="3:11" ht="12.75" customHeight="1" x14ac:dyDescent="0.3">
      <c r="D123" s="266"/>
    </row>
    <row r="124" spans="3:11" ht="12.75" customHeight="1" x14ac:dyDescent="0.3">
      <c r="D124" s="266"/>
    </row>
    <row r="125" spans="3:11" ht="12.75" customHeight="1" x14ac:dyDescent="0.3">
      <c r="D125" s="266"/>
    </row>
    <row r="126" spans="3:11" ht="12.75" customHeight="1" x14ac:dyDescent="0.25">
      <c r="D126" s="268"/>
    </row>
  </sheetData>
  <sortState xmlns:xlrd2="http://schemas.microsoft.com/office/spreadsheetml/2017/richdata2" ref="J99:K102">
    <sortCondition ref="J99:J102"/>
  </sortState>
  <phoneticPr fontId="0" type="noConversion"/>
  <dataValidations count="1">
    <dataValidation type="list" allowBlank="1" showInputMessage="1" showErrorMessage="1" sqref="B2" xr:uid="{00000000-0002-0000-0100-000000000000}">
      <formula1>Language_choices</formula1>
    </dataValidation>
  </dataValidation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M117"/>
  <sheetViews>
    <sheetView zoomScale="90" zoomScaleNormal="90" workbookViewId="0">
      <pane ySplit="1" topLeftCell="A2" activePane="bottomLeft" state="frozen"/>
      <selection pane="bottomLeft" activeCell="A53" sqref="A53"/>
    </sheetView>
  </sheetViews>
  <sheetFormatPr defaultColWidth="11.453125" defaultRowHeight="15.5" x14ac:dyDescent="0.35"/>
  <cols>
    <col min="1" max="1" width="23.6328125" style="32" bestFit="1" customWidth="1"/>
    <col min="2" max="2" width="23.08984375" style="27" customWidth="1"/>
    <col min="3" max="3" width="22.6328125" style="27" customWidth="1"/>
    <col min="4" max="4" width="31.36328125" style="27" bestFit="1" customWidth="1"/>
    <col min="5" max="5" width="52.6328125" style="27" bestFit="1" customWidth="1"/>
    <col min="6" max="16384" width="11.453125" style="27"/>
  </cols>
  <sheetData>
    <row r="1" spans="1:5" ht="18" x14ac:dyDescent="0.4">
      <c r="A1" s="31" t="s">
        <v>245</v>
      </c>
      <c r="B1" s="26" t="s">
        <v>244</v>
      </c>
      <c r="C1" s="26" t="s">
        <v>246</v>
      </c>
      <c r="D1" s="26" t="s">
        <v>254</v>
      </c>
      <c r="E1" s="47" t="s">
        <v>662</v>
      </c>
    </row>
    <row r="2" spans="1:5" x14ac:dyDescent="0.35">
      <c r="A2" s="32" t="s">
        <v>197</v>
      </c>
      <c r="B2" s="27" t="s">
        <v>43</v>
      </c>
      <c r="C2" s="27" t="s">
        <v>130</v>
      </c>
      <c r="D2" s="27" t="s">
        <v>215</v>
      </c>
      <c r="E2" t="s">
        <v>663</v>
      </c>
    </row>
    <row r="3" spans="1:5" x14ac:dyDescent="0.35">
      <c r="A3" s="33" t="s">
        <v>39</v>
      </c>
      <c r="B3" s="27" t="s">
        <v>518</v>
      </c>
      <c r="C3" s="27" t="s">
        <v>168</v>
      </c>
      <c r="D3" s="27" t="s">
        <v>237</v>
      </c>
      <c r="E3" t="s">
        <v>664</v>
      </c>
    </row>
    <row r="4" spans="1:5" x14ac:dyDescent="0.35">
      <c r="A4" s="33" t="s">
        <v>257</v>
      </c>
      <c r="B4" s="28" t="s">
        <v>261</v>
      </c>
      <c r="C4" s="24" t="s">
        <v>266</v>
      </c>
      <c r="D4" s="27" t="s">
        <v>758</v>
      </c>
      <c r="E4" t="s">
        <v>665</v>
      </c>
    </row>
    <row r="5" spans="1:5" x14ac:dyDescent="0.35">
      <c r="A5" s="33" t="s">
        <v>198</v>
      </c>
      <c r="B5" s="24" t="s">
        <v>260</v>
      </c>
      <c r="C5" s="27" t="s">
        <v>265</v>
      </c>
      <c r="D5" s="27" t="s">
        <v>759</v>
      </c>
      <c r="E5" t="s">
        <v>666</v>
      </c>
    </row>
    <row r="6" spans="1:5" x14ac:dyDescent="0.35">
      <c r="A6" s="32" t="s">
        <v>562</v>
      </c>
      <c r="B6" s="27" t="s">
        <v>573</v>
      </c>
      <c r="C6" s="27" t="s">
        <v>574</v>
      </c>
      <c r="D6" s="27" t="s">
        <v>760</v>
      </c>
      <c r="E6" t="s">
        <v>667</v>
      </c>
    </row>
    <row r="7" spans="1:5" x14ac:dyDescent="0.35">
      <c r="A7" s="32" t="s">
        <v>894</v>
      </c>
      <c r="B7" s="27" t="s">
        <v>613</v>
      </c>
      <c r="C7" s="27" t="s">
        <v>615</v>
      </c>
      <c r="D7" s="27" t="s">
        <v>614</v>
      </c>
      <c r="E7" t="s">
        <v>756</v>
      </c>
    </row>
    <row r="8" spans="1:5" x14ac:dyDescent="0.35">
      <c r="A8" s="32" t="s">
        <v>55</v>
      </c>
      <c r="B8" s="27" t="s">
        <v>60</v>
      </c>
      <c r="C8" s="27" t="s">
        <v>122</v>
      </c>
      <c r="D8" s="27" t="s">
        <v>209</v>
      </c>
      <c r="E8" s="36" t="s">
        <v>668</v>
      </c>
    </row>
    <row r="9" spans="1:5" x14ac:dyDescent="0.35">
      <c r="A9" s="33" t="s">
        <v>16</v>
      </c>
      <c r="B9" s="27" t="s">
        <v>102</v>
      </c>
      <c r="C9" s="27" t="s">
        <v>147</v>
      </c>
      <c r="D9" s="27" t="s">
        <v>761</v>
      </c>
      <c r="E9" s="36" t="s">
        <v>669</v>
      </c>
    </row>
    <row r="10" spans="1:5" x14ac:dyDescent="0.35">
      <c r="A10" s="33" t="s">
        <v>630</v>
      </c>
      <c r="B10" s="28" t="s">
        <v>598</v>
      </c>
      <c r="C10" s="27" t="s">
        <v>599</v>
      </c>
      <c r="D10" s="27" t="s">
        <v>762</v>
      </c>
      <c r="E10" t="s">
        <v>670</v>
      </c>
    </row>
    <row r="11" spans="1:5" ht="31" x14ac:dyDescent="0.35">
      <c r="A11" s="32" t="s">
        <v>631</v>
      </c>
      <c r="B11" s="27" t="s">
        <v>567</v>
      </c>
      <c r="C11" s="27" t="s">
        <v>568</v>
      </c>
      <c r="D11" s="27" t="s">
        <v>763</v>
      </c>
      <c r="E11" t="s">
        <v>671</v>
      </c>
    </row>
    <row r="12" spans="1:5" x14ac:dyDescent="0.35">
      <c r="A12" s="32" t="s">
        <v>889</v>
      </c>
      <c r="E12"/>
    </row>
    <row r="13" spans="1:5" ht="46.5" x14ac:dyDescent="0.35">
      <c r="A13" s="33" t="s">
        <v>268</v>
      </c>
      <c r="B13" s="28" t="s">
        <v>269</v>
      </c>
      <c r="C13" s="24" t="s">
        <v>268</v>
      </c>
      <c r="D13" s="24" t="s">
        <v>764</v>
      </c>
      <c r="E13" s="5" t="s">
        <v>672</v>
      </c>
    </row>
    <row r="14" spans="1:5" x14ac:dyDescent="0.35">
      <c r="A14" s="33" t="s">
        <v>256</v>
      </c>
      <c r="B14" s="28" t="s">
        <v>262</v>
      </c>
      <c r="C14" s="24" t="s">
        <v>256</v>
      </c>
      <c r="D14" s="24" t="s">
        <v>765</v>
      </c>
      <c r="E14" s="5" t="s">
        <v>673</v>
      </c>
    </row>
    <row r="15" spans="1:5" x14ac:dyDescent="0.35">
      <c r="A15" s="33" t="s">
        <v>3</v>
      </c>
      <c r="B15" s="27" t="s">
        <v>72</v>
      </c>
      <c r="C15" s="27" t="s">
        <v>138</v>
      </c>
      <c r="D15" s="27" t="s">
        <v>221</v>
      </c>
      <c r="E15" s="36" t="s">
        <v>674</v>
      </c>
    </row>
    <row r="16" spans="1:5" x14ac:dyDescent="0.35">
      <c r="A16" s="33" t="s">
        <v>632</v>
      </c>
      <c r="B16" s="27" t="s">
        <v>264</v>
      </c>
      <c r="C16" s="27" t="s">
        <v>142</v>
      </c>
      <c r="D16" s="27" t="s">
        <v>766</v>
      </c>
      <c r="E16" s="5" t="s">
        <v>675</v>
      </c>
    </row>
    <row r="17" spans="1:5" x14ac:dyDescent="0.35">
      <c r="A17" s="32" t="s">
        <v>633</v>
      </c>
      <c r="B17" s="27" t="s">
        <v>25</v>
      </c>
      <c r="C17" s="27" t="s">
        <v>127</v>
      </c>
      <c r="D17" s="27" t="s">
        <v>767</v>
      </c>
      <c r="E17" s="5" t="s">
        <v>676</v>
      </c>
    </row>
    <row r="18" spans="1:5" x14ac:dyDescent="0.35">
      <c r="A18" s="32" t="s">
        <v>64</v>
      </c>
      <c r="B18" s="27" t="s">
        <v>37</v>
      </c>
      <c r="C18" s="27" t="s">
        <v>128</v>
      </c>
      <c r="D18" s="27" t="s">
        <v>211</v>
      </c>
      <c r="E18" s="5" t="s">
        <v>677</v>
      </c>
    </row>
    <row r="19" spans="1:5" x14ac:dyDescent="0.35">
      <c r="A19" s="32" t="s">
        <v>634</v>
      </c>
      <c r="B19" s="27" t="s">
        <v>66</v>
      </c>
      <c r="C19" s="27" t="s">
        <v>132</v>
      </c>
      <c r="D19" s="27" t="s">
        <v>768</v>
      </c>
      <c r="E19" t="s">
        <v>678</v>
      </c>
    </row>
    <row r="20" spans="1:5" x14ac:dyDescent="0.35">
      <c r="A20" s="33" t="s">
        <v>17</v>
      </c>
      <c r="B20" s="27" t="s">
        <v>247</v>
      </c>
      <c r="C20" s="27" t="s">
        <v>248</v>
      </c>
      <c r="D20" s="27" t="s">
        <v>769</v>
      </c>
      <c r="E20" t="s">
        <v>679</v>
      </c>
    </row>
    <row r="21" spans="1:5" x14ac:dyDescent="0.35">
      <c r="A21" s="33" t="s">
        <v>31</v>
      </c>
      <c r="B21" s="27" t="s">
        <v>897</v>
      </c>
      <c r="C21" s="27" t="s">
        <v>898</v>
      </c>
      <c r="D21" s="27" t="s">
        <v>899</v>
      </c>
      <c r="E21" s="5" t="s">
        <v>898</v>
      </c>
    </row>
    <row r="22" spans="1:5" x14ac:dyDescent="0.35">
      <c r="A22" s="33" t="s">
        <v>24</v>
      </c>
      <c r="B22" s="27" t="s">
        <v>113</v>
      </c>
      <c r="C22" s="27" t="s">
        <v>165</v>
      </c>
      <c r="D22" s="27" t="s">
        <v>236</v>
      </c>
      <c r="E22" t="s">
        <v>680</v>
      </c>
    </row>
    <row r="23" spans="1:5" ht="31" x14ac:dyDescent="0.35">
      <c r="A23" s="32" t="s">
        <v>624</v>
      </c>
      <c r="B23" s="27" t="s">
        <v>625</v>
      </c>
      <c r="C23" s="27" t="s">
        <v>626</v>
      </c>
      <c r="D23" s="27" t="s">
        <v>807</v>
      </c>
      <c r="E23" s="5" t="s">
        <v>757</v>
      </c>
    </row>
    <row r="24" spans="1:5" x14ac:dyDescent="0.35">
      <c r="A24" s="32" t="s">
        <v>906</v>
      </c>
      <c r="B24" s="27" t="s">
        <v>906</v>
      </c>
      <c r="C24" s="27" t="s">
        <v>907</v>
      </c>
      <c r="D24" s="27" t="s">
        <v>908</v>
      </c>
      <c r="E24" s="276" t="s">
        <v>907</v>
      </c>
    </row>
    <row r="25" spans="1:5" x14ac:dyDescent="0.35">
      <c r="A25" s="33" t="s">
        <v>910</v>
      </c>
      <c r="B25" s="27" t="s">
        <v>911</v>
      </c>
      <c r="C25" s="27" t="s">
        <v>912</v>
      </c>
      <c r="D25" s="27" t="s">
        <v>913</v>
      </c>
      <c r="E25" s="27" t="s">
        <v>914</v>
      </c>
    </row>
    <row r="26" spans="1:5" x14ac:dyDescent="0.35">
      <c r="A26" s="32" t="s">
        <v>595</v>
      </c>
      <c r="B26" s="27" t="s">
        <v>602</v>
      </c>
      <c r="C26" s="27" t="s">
        <v>603</v>
      </c>
      <c r="D26" s="27" t="s">
        <v>770</v>
      </c>
      <c r="E26" s="5" t="s">
        <v>681</v>
      </c>
    </row>
    <row r="27" spans="1:5" x14ac:dyDescent="0.35">
      <c r="A27" s="32" t="s">
        <v>900</v>
      </c>
      <c r="B27" s="27" t="s">
        <v>0</v>
      </c>
      <c r="C27" s="27" t="s">
        <v>119</v>
      </c>
      <c r="D27" s="27" t="s">
        <v>206</v>
      </c>
      <c r="E27" s="5" t="s">
        <v>119</v>
      </c>
    </row>
    <row r="28" spans="1:5" x14ac:dyDescent="0.35">
      <c r="A28" s="33" t="s">
        <v>74</v>
      </c>
      <c r="B28" s="27" t="s">
        <v>74</v>
      </c>
      <c r="C28" s="27" t="s">
        <v>74</v>
      </c>
      <c r="D28" s="27" t="s">
        <v>771</v>
      </c>
      <c r="E28" t="s">
        <v>74</v>
      </c>
    </row>
    <row r="29" spans="1:5" x14ac:dyDescent="0.35">
      <c r="A29" s="32" t="s">
        <v>524</v>
      </c>
      <c r="B29" s="27" t="s">
        <v>525</v>
      </c>
      <c r="C29" s="27" t="s">
        <v>526</v>
      </c>
      <c r="D29" s="27" t="s">
        <v>772</v>
      </c>
      <c r="E29" s="5" t="s">
        <v>682</v>
      </c>
    </row>
    <row r="30" spans="1:5" x14ac:dyDescent="0.35">
      <c r="A30" s="32" t="s">
        <v>213</v>
      </c>
      <c r="B30" s="27" t="s">
        <v>213</v>
      </c>
      <c r="C30" s="27" t="s">
        <v>213</v>
      </c>
      <c r="D30" s="27" t="s">
        <v>213</v>
      </c>
      <c r="E30" t="s">
        <v>213</v>
      </c>
    </row>
    <row r="31" spans="1:5" ht="31" x14ac:dyDescent="0.35">
      <c r="A31" s="32" t="s">
        <v>561</v>
      </c>
      <c r="B31" s="27" t="s">
        <v>569</v>
      </c>
      <c r="C31" s="27" t="s">
        <v>570</v>
      </c>
      <c r="D31" s="27" t="s">
        <v>773</v>
      </c>
      <c r="E31" t="s">
        <v>683</v>
      </c>
    </row>
    <row r="32" spans="1:5" ht="31" x14ac:dyDescent="0.35">
      <c r="A32" s="32" t="s">
        <v>560</v>
      </c>
      <c r="B32" s="27" t="s">
        <v>571</v>
      </c>
      <c r="C32" s="27" t="s">
        <v>572</v>
      </c>
      <c r="D32" s="27" t="s">
        <v>774</v>
      </c>
      <c r="E32" t="s">
        <v>684</v>
      </c>
    </row>
    <row r="33" spans="1:5" x14ac:dyDescent="0.35">
      <c r="A33" s="32" t="s">
        <v>596</v>
      </c>
      <c r="B33" s="27" t="s">
        <v>610</v>
      </c>
      <c r="C33" s="27" t="s">
        <v>604</v>
      </c>
      <c r="D33" s="27" t="s">
        <v>605</v>
      </c>
      <c r="E33" t="s">
        <v>685</v>
      </c>
    </row>
    <row r="34" spans="1:5" x14ac:dyDescent="0.35">
      <c r="A34" s="33" t="s">
        <v>18</v>
      </c>
      <c r="B34" s="27" t="s">
        <v>104</v>
      </c>
      <c r="C34" s="27" t="s">
        <v>150</v>
      </c>
      <c r="D34" s="27" t="s">
        <v>228</v>
      </c>
      <c r="E34" t="s">
        <v>686</v>
      </c>
    </row>
    <row r="35" spans="1:5" x14ac:dyDescent="0.35">
      <c r="A35" s="33" t="s">
        <v>635</v>
      </c>
      <c r="B35" s="27" t="s">
        <v>110</v>
      </c>
      <c r="C35" s="27" t="s">
        <v>158</v>
      </c>
      <c r="D35" s="27" t="s">
        <v>233</v>
      </c>
      <c r="E35" t="s">
        <v>687</v>
      </c>
    </row>
    <row r="36" spans="1:5" x14ac:dyDescent="0.35">
      <c r="A36" s="33" t="s">
        <v>42</v>
      </c>
      <c r="B36" s="27" t="s">
        <v>523</v>
      </c>
      <c r="C36" s="27" t="s">
        <v>171</v>
      </c>
      <c r="D36" s="27" t="s">
        <v>242</v>
      </c>
      <c r="E36" t="s">
        <v>688</v>
      </c>
    </row>
    <row r="37" spans="1:5" x14ac:dyDescent="0.35">
      <c r="A37" s="32" t="s">
        <v>597</v>
      </c>
      <c r="B37" s="27" t="s">
        <v>606</v>
      </c>
      <c r="C37" s="27" t="s">
        <v>608</v>
      </c>
      <c r="D37" s="27" t="s">
        <v>607</v>
      </c>
      <c r="E37" s="36" t="s">
        <v>689</v>
      </c>
    </row>
    <row r="38" spans="1:5" x14ac:dyDescent="0.35">
      <c r="A38" s="33" t="s">
        <v>38</v>
      </c>
      <c r="B38" s="27" t="s">
        <v>517</v>
      </c>
      <c r="C38" s="27" t="s">
        <v>140</v>
      </c>
      <c r="D38" s="27" t="s">
        <v>222</v>
      </c>
      <c r="E38" t="s">
        <v>690</v>
      </c>
    </row>
    <row r="39" spans="1:5" x14ac:dyDescent="0.35">
      <c r="A39" s="33" t="s">
        <v>115</v>
      </c>
      <c r="B39" s="27" t="s">
        <v>116</v>
      </c>
      <c r="C39" s="27" t="s">
        <v>140</v>
      </c>
      <c r="D39" s="27" t="s">
        <v>222</v>
      </c>
      <c r="E39" t="s">
        <v>691</v>
      </c>
    </row>
    <row r="40" spans="1:5" x14ac:dyDescent="0.35">
      <c r="A40" s="33" t="s">
        <v>5</v>
      </c>
      <c r="B40" s="33" t="s">
        <v>100</v>
      </c>
      <c r="C40" s="33" t="s">
        <v>143</v>
      </c>
      <c r="D40" s="33" t="s">
        <v>223</v>
      </c>
      <c r="E40" s="33" t="s">
        <v>692</v>
      </c>
    </row>
    <row r="41" spans="1:5" x14ac:dyDescent="0.35">
      <c r="A41" s="33" t="s">
        <v>1</v>
      </c>
      <c r="B41" s="27" t="s">
        <v>1</v>
      </c>
      <c r="C41" s="27" t="s">
        <v>137</v>
      </c>
      <c r="D41" s="27" t="s">
        <v>1</v>
      </c>
      <c r="E41" t="s">
        <v>1</v>
      </c>
    </row>
    <row r="42" spans="1:5" x14ac:dyDescent="0.35">
      <c r="A42" s="32" t="s">
        <v>591</v>
      </c>
      <c r="B42" s="27" t="s">
        <v>590</v>
      </c>
      <c r="C42" s="27" t="s">
        <v>590</v>
      </c>
      <c r="D42" s="27" t="s">
        <v>591</v>
      </c>
      <c r="E42" t="s">
        <v>590</v>
      </c>
    </row>
    <row r="43" spans="1:5" x14ac:dyDescent="0.35">
      <c r="A43" s="33" t="s">
        <v>51</v>
      </c>
      <c r="B43" s="27" t="s">
        <v>106</v>
      </c>
      <c r="C43" s="27" t="s">
        <v>153</v>
      </c>
      <c r="D43" s="27" t="s">
        <v>231</v>
      </c>
      <c r="E43" s="36" t="s">
        <v>693</v>
      </c>
    </row>
    <row r="44" spans="1:5" x14ac:dyDescent="0.35">
      <c r="A44" s="33" t="s">
        <v>872</v>
      </c>
      <c r="B44" s="27" t="s">
        <v>878</v>
      </c>
      <c r="C44" s="27" t="s">
        <v>878</v>
      </c>
      <c r="D44" s="27" t="s">
        <v>879</v>
      </c>
      <c r="E44" s="36" t="s">
        <v>880</v>
      </c>
    </row>
    <row r="45" spans="1:5" x14ac:dyDescent="0.35">
      <c r="A45" s="33" t="s">
        <v>919</v>
      </c>
      <c r="B45" s="27" t="s">
        <v>920</v>
      </c>
      <c r="C45" s="27" t="s">
        <v>921</v>
      </c>
      <c r="D45" s="27" t="s">
        <v>922</v>
      </c>
      <c r="E45" s="276" t="s">
        <v>923</v>
      </c>
    </row>
    <row r="46" spans="1:5" x14ac:dyDescent="0.35">
      <c r="A46" s="33" t="s">
        <v>275</v>
      </c>
      <c r="B46" s="28" t="s">
        <v>273</v>
      </c>
      <c r="C46" s="24" t="s">
        <v>274</v>
      </c>
      <c r="D46" s="27" t="s">
        <v>776</v>
      </c>
      <c r="E46" s="36" t="s">
        <v>694</v>
      </c>
    </row>
    <row r="47" spans="1:5" x14ac:dyDescent="0.35">
      <c r="A47" s="33" t="s">
        <v>636</v>
      </c>
      <c r="B47" s="28" t="s">
        <v>202</v>
      </c>
      <c r="C47" s="27" t="s">
        <v>203</v>
      </c>
      <c r="D47" s="27" t="s">
        <v>243</v>
      </c>
      <c r="E47" t="s">
        <v>695</v>
      </c>
    </row>
    <row r="48" spans="1:5" x14ac:dyDescent="0.35">
      <c r="A48" s="33" t="s">
        <v>272</v>
      </c>
      <c r="B48" s="24" t="s">
        <v>270</v>
      </c>
      <c r="C48" s="27" t="s">
        <v>271</v>
      </c>
      <c r="D48" s="27" t="s">
        <v>272</v>
      </c>
      <c r="E48" t="s">
        <v>696</v>
      </c>
    </row>
    <row r="49" spans="1:5" ht="31" x14ac:dyDescent="0.35">
      <c r="A49" s="33" t="s">
        <v>637</v>
      </c>
      <c r="B49" s="27" t="s">
        <v>514</v>
      </c>
      <c r="C49" s="27" t="s">
        <v>148</v>
      </c>
      <c r="D49" s="27" t="s">
        <v>777</v>
      </c>
      <c r="E49" s="5" t="s">
        <v>697</v>
      </c>
    </row>
    <row r="50" spans="1:5" x14ac:dyDescent="0.35">
      <c r="A50" s="33" t="s">
        <v>638</v>
      </c>
      <c r="B50" s="28" t="s">
        <v>192</v>
      </c>
      <c r="C50" s="27" t="s">
        <v>193</v>
      </c>
      <c r="D50" s="28" t="s">
        <v>778</v>
      </c>
      <c r="E50" t="s">
        <v>698</v>
      </c>
    </row>
    <row r="51" spans="1:5" x14ac:dyDescent="0.35">
      <c r="A51" s="33" t="s">
        <v>639</v>
      </c>
      <c r="B51" s="27" t="s">
        <v>111</v>
      </c>
      <c r="C51" s="27" t="s">
        <v>160</v>
      </c>
      <c r="D51" s="27" t="s">
        <v>779</v>
      </c>
      <c r="E51" s="5" t="s">
        <v>699</v>
      </c>
    </row>
    <row r="52" spans="1:5" x14ac:dyDescent="0.35">
      <c r="A52" s="33" t="s">
        <v>40</v>
      </c>
      <c r="B52" s="27" t="s">
        <v>519</v>
      </c>
      <c r="C52" s="27" t="s">
        <v>170</v>
      </c>
      <c r="D52" s="27" t="s">
        <v>239</v>
      </c>
      <c r="E52" s="36" t="s">
        <v>700</v>
      </c>
    </row>
    <row r="53" spans="1:5" x14ac:dyDescent="0.35">
      <c r="A53" s="33" t="s">
        <v>640</v>
      </c>
      <c r="B53" s="27" t="s">
        <v>499</v>
      </c>
      <c r="C53" s="27" t="s">
        <v>156</v>
      </c>
      <c r="D53" s="27" t="s">
        <v>780</v>
      </c>
      <c r="E53" s="5" t="s">
        <v>701</v>
      </c>
    </row>
    <row r="54" spans="1:5" ht="31" x14ac:dyDescent="0.35">
      <c r="A54" s="33" t="s">
        <v>925</v>
      </c>
      <c r="B54" s="27" t="s">
        <v>926</v>
      </c>
      <c r="C54" s="27" t="s">
        <v>927</v>
      </c>
      <c r="D54" s="27" t="s">
        <v>928</v>
      </c>
      <c r="E54" s="27" t="s">
        <v>929</v>
      </c>
    </row>
    <row r="55" spans="1:5" ht="31" x14ac:dyDescent="0.35">
      <c r="A55" s="34" t="s">
        <v>641</v>
      </c>
      <c r="B55" s="27" t="s">
        <v>505</v>
      </c>
      <c r="C55" s="27" t="s">
        <v>512</v>
      </c>
      <c r="D55" s="27" t="s">
        <v>781</v>
      </c>
      <c r="E55" s="5" t="s">
        <v>702</v>
      </c>
    </row>
    <row r="56" spans="1:5" ht="31" x14ac:dyDescent="0.35">
      <c r="A56" s="34" t="s">
        <v>642</v>
      </c>
      <c r="B56" s="27" t="s">
        <v>503</v>
      </c>
      <c r="C56" s="27" t="s">
        <v>509</v>
      </c>
      <c r="D56" s="27" t="s">
        <v>782</v>
      </c>
      <c r="E56" s="5" t="s">
        <v>703</v>
      </c>
    </row>
    <row r="57" spans="1:5" x14ac:dyDescent="0.35">
      <c r="A57" s="32" t="s">
        <v>62</v>
      </c>
      <c r="B57" s="27" t="s">
        <v>62</v>
      </c>
      <c r="C57" s="27" t="s">
        <v>123</v>
      </c>
      <c r="D57" s="27" t="s">
        <v>783</v>
      </c>
      <c r="E57" s="5" t="s">
        <v>704</v>
      </c>
    </row>
    <row r="58" spans="1:5" ht="62" x14ac:dyDescent="0.35">
      <c r="A58" s="33" t="s">
        <v>179</v>
      </c>
      <c r="B58" s="25" t="s">
        <v>178</v>
      </c>
      <c r="C58" s="29"/>
      <c r="D58" s="29" t="s">
        <v>784</v>
      </c>
      <c r="E58" s="5" t="s">
        <v>705</v>
      </c>
    </row>
    <row r="59" spans="1:5" x14ac:dyDescent="0.35">
      <c r="A59" s="33" t="s">
        <v>23</v>
      </c>
      <c r="B59" s="27" t="s">
        <v>500</v>
      </c>
      <c r="C59" s="27" t="s">
        <v>152</v>
      </c>
      <c r="D59" s="27" t="s">
        <v>230</v>
      </c>
      <c r="E59" t="s">
        <v>706</v>
      </c>
    </row>
    <row r="60" spans="1:5" x14ac:dyDescent="0.35">
      <c r="A60" s="33" t="s">
        <v>469</v>
      </c>
      <c r="B60" s="27" t="s">
        <v>501</v>
      </c>
      <c r="C60" s="27" t="s">
        <v>162</v>
      </c>
      <c r="D60" s="27" t="s">
        <v>785</v>
      </c>
      <c r="E60" t="s">
        <v>707</v>
      </c>
    </row>
    <row r="61" spans="1:5" x14ac:dyDescent="0.35">
      <c r="A61" s="34" t="s">
        <v>467</v>
      </c>
      <c r="B61" s="27" t="s">
        <v>508</v>
      </c>
      <c r="C61" s="27" t="s">
        <v>511</v>
      </c>
      <c r="D61" s="27" t="s">
        <v>786</v>
      </c>
      <c r="E61" s="5" t="s">
        <v>708</v>
      </c>
    </row>
    <row r="62" spans="1:5" x14ac:dyDescent="0.35">
      <c r="A62" s="33" t="s">
        <v>620</v>
      </c>
      <c r="B62" s="28" t="s">
        <v>621</v>
      </c>
      <c r="C62" s="24" t="s">
        <v>622</v>
      </c>
      <c r="D62" s="27" t="s">
        <v>623</v>
      </c>
      <c r="E62" t="s">
        <v>709</v>
      </c>
    </row>
    <row r="63" spans="1:5" x14ac:dyDescent="0.35">
      <c r="A63" s="33" t="s">
        <v>643</v>
      </c>
      <c r="B63" s="27" t="s">
        <v>108</v>
      </c>
      <c r="C63" s="27" t="s">
        <v>155</v>
      </c>
      <c r="D63" s="27" t="s">
        <v>787</v>
      </c>
      <c r="E63" s="5" t="s">
        <v>710</v>
      </c>
    </row>
    <row r="64" spans="1:5" x14ac:dyDescent="0.35">
      <c r="A64" s="33" t="s">
        <v>644</v>
      </c>
      <c r="B64" s="27" t="s">
        <v>361</v>
      </c>
      <c r="C64" s="27" t="s">
        <v>161</v>
      </c>
      <c r="D64" s="27" t="s">
        <v>788</v>
      </c>
      <c r="E64" t="s">
        <v>711</v>
      </c>
    </row>
    <row r="65" spans="1:13" ht="31" x14ac:dyDescent="0.35">
      <c r="A65" s="33" t="s">
        <v>930</v>
      </c>
      <c r="B65" s="27" t="s">
        <v>931</v>
      </c>
      <c r="C65" s="27" t="s">
        <v>932</v>
      </c>
      <c r="D65" s="27" t="s">
        <v>933</v>
      </c>
      <c r="E65" s="27" t="s">
        <v>934</v>
      </c>
    </row>
    <row r="66" spans="1:13" ht="31" x14ac:dyDescent="0.35">
      <c r="A66" s="34" t="s">
        <v>645</v>
      </c>
      <c r="B66" s="27" t="s">
        <v>506</v>
      </c>
      <c r="C66" s="27" t="s">
        <v>513</v>
      </c>
      <c r="D66" s="27" t="s">
        <v>789</v>
      </c>
      <c r="E66" s="5" t="s">
        <v>712</v>
      </c>
    </row>
    <row r="67" spans="1:13" ht="31" x14ac:dyDescent="0.35">
      <c r="A67" s="34" t="s">
        <v>466</v>
      </c>
      <c r="B67" s="27" t="s">
        <v>507</v>
      </c>
      <c r="C67" s="27" t="s">
        <v>510</v>
      </c>
      <c r="D67" s="27" t="s">
        <v>790</v>
      </c>
      <c r="E67" s="5" t="s">
        <v>713</v>
      </c>
      <c r="G67" s="30"/>
    </row>
    <row r="68" spans="1:13" x14ac:dyDescent="0.35">
      <c r="A68" s="32" t="s">
        <v>646</v>
      </c>
      <c r="B68" s="27" t="s">
        <v>65</v>
      </c>
      <c r="C68" s="27" t="s">
        <v>131</v>
      </c>
      <c r="D68" s="27" t="s">
        <v>216</v>
      </c>
      <c r="E68" t="s">
        <v>714</v>
      </c>
    </row>
    <row r="69" spans="1:13" x14ac:dyDescent="0.35">
      <c r="A69" s="32" t="s">
        <v>647</v>
      </c>
      <c r="B69" s="27" t="s">
        <v>67</v>
      </c>
      <c r="C69" s="27" t="s">
        <v>134</v>
      </c>
      <c r="D69" s="27" t="s">
        <v>218</v>
      </c>
      <c r="E69" t="s">
        <v>715</v>
      </c>
    </row>
    <row r="70" spans="1:13" x14ac:dyDescent="0.35">
      <c r="A70" s="33" t="s">
        <v>52</v>
      </c>
      <c r="B70" s="27" t="s">
        <v>103</v>
      </c>
      <c r="C70" s="27" t="s">
        <v>149</v>
      </c>
      <c r="D70" s="27" t="s">
        <v>227</v>
      </c>
      <c r="E70" s="5" t="s">
        <v>716</v>
      </c>
    </row>
    <row r="71" spans="1:13" x14ac:dyDescent="0.35">
      <c r="A71" s="33" t="s">
        <v>47</v>
      </c>
      <c r="B71" s="27" t="s">
        <v>522</v>
      </c>
      <c r="C71" s="27" t="s">
        <v>169</v>
      </c>
      <c r="D71" s="27" t="s">
        <v>238</v>
      </c>
      <c r="E71" t="s">
        <v>717</v>
      </c>
    </row>
    <row r="72" spans="1:13" x14ac:dyDescent="0.35">
      <c r="A72" s="32" t="s">
        <v>587</v>
      </c>
      <c r="B72" s="27" t="s">
        <v>588</v>
      </c>
      <c r="C72" s="27" t="s">
        <v>589</v>
      </c>
      <c r="D72" s="27" t="s">
        <v>214</v>
      </c>
      <c r="E72" t="s">
        <v>718</v>
      </c>
    </row>
    <row r="73" spans="1:13" x14ac:dyDescent="0.35">
      <c r="A73" s="32" t="s">
        <v>69</v>
      </c>
      <c r="B73" s="27" t="s">
        <v>71</v>
      </c>
      <c r="C73" s="27" t="s">
        <v>136</v>
      </c>
      <c r="D73" s="27" t="s">
        <v>220</v>
      </c>
      <c r="E73" t="s">
        <v>719</v>
      </c>
    </row>
    <row r="74" spans="1:13" x14ac:dyDescent="0.35">
      <c r="A74" s="32" t="s">
        <v>580</v>
      </c>
      <c r="B74" s="27" t="s">
        <v>583</v>
      </c>
      <c r="C74" s="27" t="s">
        <v>580</v>
      </c>
      <c r="D74" s="27" t="s">
        <v>584</v>
      </c>
      <c r="E74" t="s">
        <v>580</v>
      </c>
    </row>
    <row r="75" spans="1:13" x14ac:dyDescent="0.35">
      <c r="A75" s="32" t="s">
        <v>563</v>
      </c>
      <c r="B75" s="27" t="s">
        <v>575</v>
      </c>
      <c r="C75" s="27" t="s">
        <v>576</v>
      </c>
      <c r="D75" s="27" t="s">
        <v>791</v>
      </c>
      <c r="E75" t="s">
        <v>720</v>
      </c>
    </row>
    <row r="76" spans="1:13" x14ac:dyDescent="0.35">
      <c r="A76" s="32" t="s">
        <v>648</v>
      </c>
      <c r="B76" s="27" t="s">
        <v>609</v>
      </c>
      <c r="C76" s="27" t="s">
        <v>125</v>
      </c>
      <c r="D76" s="27" t="s">
        <v>792</v>
      </c>
      <c r="E76" t="s">
        <v>721</v>
      </c>
      <c r="F76" s="29"/>
      <c r="G76" s="29"/>
      <c r="H76" s="29"/>
      <c r="I76" s="29"/>
      <c r="J76" s="29"/>
      <c r="K76" s="29"/>
      <c r="L76" s="29"/>
      <c r="M76" s="29"/>
    </row>
    <row r="77" spans="1:13" x14ac:dyDescent="0.35">
      <c r="A77" s="33" t="s">
        <v>251</v>
      </c>
      <c r="B77" s="28" t="s">
        <v>252</v>
      </c>
      <c r="C77" s="27" t="s">
        <v>253</v>
      </c>
      <c r="D77" s="27" t="s">
        <v>793</v>
      </c>
      <c r="E77" t="s">
        <v>722</v>
      </c>
    </row>
    <row r="78" spans="1:13" x14ac:dyDescent="0.35">
      <c r="A78" s="33" t="s">
        <v>649</v>
      </c>
      <c r="B78" s="27" t="s">
        <v>109</v>
      </c>
      <c r="C78" s="27" t="s">
        <v>157</v>
      </c>
      <c r="D78" s="27" t="s">
        <v>794</v>
      </c>
      <c r="E78" t="s">
        <v>723</v>
      </c>
    </row>
    <row r="79" spans="1:13" x14ac:dyDescent="0.35">
      <c r="A79" s="33" t="s">
        <v>650</v>
      </c>
      <c r="B79" s="27" t="s">
        <v>276</v>
      </c>
      <c r="C79" s="27" t="s">
        <v>277</v>
      </c>
      <c r="D79" s="27" t="s">
        <v>795</v>
      </c>
      <c r="E79" t="s">
        <v>724</v>
      </c>
    </row>
    <row r="80" spans="1:13" x14ac:dyDescent="0.35">
      <c r="A80" s="32" t="s">
        <v>629</v>
      </c>
      <c r="B80" s="27" t="s">
        <v>44</v>
      </c>
      <c r="C80" s="27" t="s">
        <v>117</v>
      </c>
      <c r="D80" s="27" t="s">
        <v>204</v>
      </c>
      <c r="E80" t="s">
        <v>725</v>
      </c>
    </row>
    <row r="81" spans="1:5" x14ac:dyDescent="0.35">
      <c r="A81" s="33" t="s">
        <v>20</v>
      </c>
      <c r="B81" s="27" t="s">
        <v>107</v>
      </c>
      <c r="C81" s="27" t="s">
        <v>154</v>
      </c>
      <c r="D81" s="27" t="s">
        <v>232</v>
      </c>
      <c r="E81" s="36" t="s">
        <v>726</v>
      </c>
    </row>
    <row r="82" spans="1:5" x14ac:dyDescent="0.35">
      <c r="A82" s="32" t="s">
        <v>651</v>
      </c>
      <c r="B82" s="27" t="s">
        <v>259</v>
      </c>
      <c r="C82" s="27" t="s">
        <v>133</v>
      </c>
      <c r="D82" s="27" t="s">
        <v>217</v>
      </c>
      <c r="E82" t="s">
        <v>727</v>
      </c>
    </row>
    <row r="83" spans="1:5" ht="31" x14ac:dyDescent="0.35">
      <c r="A83" s="33" t="s">
        <v>652</v>
      </c>
      <c r="B83" s="28" t="s">
        <v>200</v>
      </c>
      <c r="C83" s="27" t="s">
        <v>201</v>
      </c>
      <c r="D83" s="27" t="s">
        <v>796</v>
      </c>
      <c r="E83" t="s">
        <v>728</v>
      </c>
    </row>
    <row r="84" spans="1:5" x14ac:dyDescent="0.35">
      <c r="A84" s="33" t="s">
        <v>869</v>
      </c>
      <c r="B84" s="27" t="s">
        <v>502</v>
      </c>
      <c r="C84" s="27" t="s">
        <v>159</v>
      </c>
      <c r="D84" s="27" t="s">
        <v>797</v>
      </c>
      <c r="E84" t="s">
        <v>729</v>
      </c>
    </row>
    <row r="85" spans="1:5" ht="31" x14ac:dyDescent="0.35">
      <c r="A85" s="33" t="s">
        <v>655</v>
      </c>
      <c r="B85" s="27" t="s">
        <v>627</v>
      </c>
      <c r="C85" s="27" t="s">
        <v>628</v>
      </c>
      <c r="D85" s="27" t="s">
        <v>804</v>
      </c>
      <c r="E85" s="36" t="s">
        <v>746</v>
      </c>
    </row>
    <row r="86" spans="1:5" x14ac:dyDescent="0.35">
      <c r="A86" s="32" t="s">
        <v>653</v>
      </c>
      <c r="B86" s="27" t="s">
        <v>909</v>
      </c>
      <c r="C86" s="27" t="s">
        <v>126</v>
      </c>
      <c r="D86" s="27" t="s">
        <v>210</v>
      </c>
      <c r="E86" t="s">
        <v>730</v>
      </c>
    </row>
    <row r="87" spans="1:5" x14ac:dyDescent="0.35">
      <c r="A87" s="33" t="s">
        <v>4</v>
      </c>
      <c r="B87" s="27" t="s">
        <v>73</v>
      </c>
      <c r="C87" s="27" t="s">
        <v>139</v>
      </c>
      <c r="D87" s="27" t="s">
        <v>798</v>
      </c>
      <c r="E87" s="5" t="s">
        <v>731</v>
      </c>
    </row>
    <row r="88" spans="1:5" x14ac:dyDescent="0.35">
      <c r="A88" s="33" t="s">
        <v>50</v>
      </c>
      <c r="B88" s="27" t="s">
        <v>114</v>
      </c>
      <c r="C88" s="27" t="s">
        <v>166</v>
      </c>
      <c r="D88" s="27" t="s">
        <v>799</v>
      </c>
      <c r="E88" s="5" t="s">
        <v>732</v>
      </c>
    </row>
    <row r="89" spans="1:5" ht="33" x14ac:dyDescent="0.55000000000000004">
      <c r="A89" s="33" t="s">
        <v>873</v>
      </c>
      <c r="B89" s="27" t="s">
        <v>886</v>
      </c>
      <c r="C89" s="27" t="s">
        <v>887</v>
      </c>
      <c r="D89" s="49" t="s">
        <v>884</v>
      </c>
      <c r="E89" s="5" t="s">
        <v>882</v>
      </c>
    </row>
    <row r="90" spans="1:5" ht="31" x14ac:dyDescent="0.35">
      <c r="A90" s="33" t="s">
        <v>199</v>
      </c>
      <c r="B90" s="27" t="s">
        <v>263</v>
      </c>
      <c r="C90" s="27" t="s">
        <v>141</v>
      </c>
      <c r="D90" s="27" t="s">
        <v>800</v>
      </c>
      <c r="E90" s="5" t="s">
        <v>733</v>
      </c>
    </row>
    <row r="91" spans="1:5" ht="20.5" x14ac:dyDescent="0.55000000000000004">
      <c r="A91" s="33" t="s">
        <v>870</v>
      </c>
      <c r="B91" s="27" t="s">
        <v>885</v>
      </c>
      <c r="C91" s="27" t="s">
        <v>888</v>
      </c>
      <c r="D91" s="49" t="s">
        <v>883</v>
      </c>
      <c r="E91" s="5" t="s">
        <v>881</v>
      </c>
    </row>
    <row r="92" spans="1:5" x14ac:dyDescent="0.35">
      <c r="A92" s="33" t="s">
        <v>15</v>
      </c>
      <c r="B92" s="27" t="s">
        <v>515</v>
      </c>
      <c r="C92" s="27" t="s">
        <v>146</v>
      </c>
      <c r="D92" s="27" t="s">
        <v>226</v>
      </c>
      <c r="E92" t="s">
        <v>734</v>
      </c>
    </row>
    <row r="93" spans="1:5" x14ac:dyDescent="0.35">
      <c r="A93" s="32" t="s">
        <v>53</v>
      </c>
      <c r="B93" s="27" t="s">
        <v>58</v>
      </c>
      <c r="C93" s="27" t="s">
        <v>120</v>
      </c>
      <c r="D93" s="27" t="s">
        <v>207</v>
      </c>
      <c r="E93" t="s">
        <v>735</v>
      </c>
    </row>
    <row r="94" spans="1:5" x14ac:dyDescent="0.35">
      <c r="A94" s="32" t="s">
        <v>875</v>
      </c>
      <c r="B94" s="27" t="s">
        <v>575</v>
      </c>
      <c r="C94" s="27" t="s">
        <v>576</v>
      </c>
      <c r="D94" s="27" t="s">
        <v>876</v>
      </c>
      <c r="E94" s="27" t="s">
        <v>877</v>
      </c>
    </row>
    <row r="95" spans="1:5" x14ac:dyDescent="0.35">
      <c r="A95" s="32" t="s">
        <v>658</v>
      </c>
      <c r="B95" s="27" t="s">
        <v>527</v>
      </c>
      <c r="C95" s="27" t="s">
        <v>529</v>
      </c>
      <c r="D95" s="27" t="s">
        <v>528</v>
      </c>
      <c r="E95" t="s">
        <v>736</v>
      </c>
    </row>
    <row r="96" spans="1:5" x14ac:dyDescent="0.35">
      <c r="A96" s="33" t="s">
        <v>654</v>
      </c>
      <c r="B96" s="27" t="s">
        <v>504</v>
      </c>
      <c r="C96" s="27" t="s">
        <v>173</v>
      </c>
      <c r="D96" s="27" t="s">
        <v>801</v>
      </c>
      <c r="E96" t="s">
        <v>737</v>
      </c>
    </row>
    <row r="97" spans="1:5" x14ac:dyDescent="0.35">
      <c r="A97" s="33" t="s">
        <v>19</v>
      </c>
      <c r="B97" s="27" t="s">
        <v>105</v>
      </c>
      <c r="C97" s="27" t="s">
        <v>151</v>
      </c>
      <c r="D97" s="27" t="s">
        <v>229</v>
      </c>
      <c r="E97" s="36" t="s">
        <v>738</v>
      </c>
    </row>
    <row r="98" spans="1:5" x14ac:dyDescent="0.35">
      <c r="A98" s="33" t="s">
        <v>21</v>
      </c>
      <c r="B98" s="27" t="s">
        <v>112</v>
      </c>
      <c r="C98" s="27" t="s">
        <v>164</v>
      </c>
      <c r="D98" s="27" t="s">
        <v>235</v>
      </c>
      <c r="E98" t="s">
        <v>739</v>
      </c>
    </row>
    <row r="99" spans="1:5" x14ac:dyDescent="0.35">
      <c r="A99" s="32" t="s">
        <v>36</v>
      </c>
      <c r="B99" s="27" t="s">
        <v>61</v>
      </c>
      <c r="C99" s="27" t="s">
        <v>124</v>
      </c>
      <c r="D99" s="27" t="s">
        <v>802</v>
      </c>
      <c r="E99" t="s">
        <v>740</v>
      </c>
    </row>
    <row r="100" spans="1:5" x14ac:dyDescent="0.35">
      <c r="A100" s="33" t="s">
        <v>48</v>
      </c>
      <c r="B100" s="27" t="s">
        <v>521</v>
      </c>
      <c r="C100" s="27" t="s">
        <v>167</v>
      </c>
      <c r="D100" s="27" t="s">
        <v>48</v>
      </c>
      <c r="E100" t="s">
        <v>741</v>
      </c>
    </row>
    <row r="101" spans="1:5" x14ac:dyDescent="0.35">
      <c r="A101" s="33" t="s">
        <v>2</v>
      </c>
      <c r="B101" s="27" t="s">
        <v>98</v>
      </c>
      <c r="C101" s="27" t="s">
        <v>2</v>
      </c>
      <c r="D101" s="27" t="s">
        <v>803</v>
      </c>
      <c r="E101" t="s">
        <v>742</v>
      </c>
    </row>
    <row r="102" spans="1:5" x14ac:dyDescent="0.35">
      <c r="A102" s="33" t="s">
        <v>468</v>
      </c>
      <c r="B102" s="27" t="s">
        <v>498</v>
      </c>
      <c r="C102" s="27" t="s">
        <v>163</v>
      </c>
      <c r="D102" s="27" t="s">
        <v>234</v>
      </c>
      <c r="E102" s="5" t="s">
        <v>743</v>
      </c>
    </row>
    <row r="103" spans="1:5" x14ac:dyDescent="0.35">
      <c r="A103" s="32" t="s">
        <v>657</v>
      </c>
      <c r="B103" s="27" t="s">
        <v>592</v>
      </c>
      <c r="C103" s="27" t="s">
        <v>593</v>
      </c>
      <c r="D103" s="27" t="s">
        <v>594</v>
      </c>
      <c r="E103" t="s">
        <v>744</v>
      </c>
    </row>
    <row r="104" spans="1:5" x14ac:dyDescent="0.35">
      <c r="A104" s="32" t="s">
        <v>68</v>
      </c>
      <c r="B104" s="27" t="s">
        <v>99</v>
      </c>
      <c r="C104" s="27" t="s">
        <v>135</v>
      </c>
      <c r="D104" s="27" t="s">
        <v>219</v>
      </c>
      <c r="E104" t="s">
        <v>745</v>
      </c>
    </row>
    <row r="105" spans="1:5" ht="31" x14ac:dyDescent="0.35">
      <c r="A105" s="48" t="s">
        <v>871</v>
      </c>
      <c r="B105" s="27" t="s">
        <v>916</v>
      </c>
      <c r="C105" s="27" t="s">
        <v>917</v>
      </c>
      <c r="D105" s="27" t="s">
        <v>775</v>
      </c>
      <c r="E105" s="5" t="s">
        <v>918</v>
      </c>
    </row>
    <row r="106" spans="1:5" x14ac:dyDescent="0.35">
      <c r="A106" s="32" t="s">
        <v>63</v>
      </c>
      <c r="B106" s="27" t="s">
        <v>49</v>
      </c>
      <c r="C106" s="27" t="s">
        <v>129</v>
      </c>
      <c r="D106" s="27" t="s">
        <v>212</v>
      </c>
      <c r="E106" t="s">
        <v>747</v>
      </c>
    </row>
    <row r="107" spans="1:5" x14ac:dyDescent="0.35">
      <c r="A107" s="32" t="s">
        <v>54</v>
      </c>
      <c r="B107" s="27" t="s">
        <v>59</v>
      </c>
      <c r="C107" s="27" t="s">
        <v>121</v>
      </c>
      <c r="D107" s="27" t="s">
        <v>208</v>
      </c>
      <c r="E107" s="5" t="s">
        <v>748</v>
      </c>
    </row>
    <row r="108" spans="1:5" x14ac:dyDescent="0.35">
      <c r="A108" s="32" t="s">
        <v>612</v>
      </c>
      <c r="B108" s="27" t="s">
        <v>611</v>
      </c>
      <c r="C108" s="27" t="s">
        <v>118</v>
      </c>
      <c r="D108" s="27" t="s">
        <v>205</v>
      </c>
      <c r="E108" t="s">
        <v>750</v>
      </c>
    </row>
    <row r="109" spans="1:5" x14ac:dyDescent="0.35">
      <c r="A109" s="32" t="s">
        <v>656</v>
      </c>
      <c r="B109" s="27" t="s">
        <v>600</v>
      </c>
      <c r="C109" s="27" t="s">
        <v>601</v>
      </c>
      <c r="D109" s="27" t="s">
        <v>805</v>
      </c>
      <c r="E109" t="s">
        <v>749</v>
      </c>
    </row>
    <row r="110" spans="1:5" x14ac:dyDescent="0.35">
      <c r="A110" s="32" t="s">
        <v>660</v>
      </c>
      <c r="B110" s="27" t="s">
        <v>661</v>
      </c>
      <c r="C110" s="27" t="s">
        <v>118</v>
      </c>
      <c r="D110" s="27" t="s">
        <v>205</v>
      </c>
      <c r="E110" s="27" t="s">
        <v>874</v>
      </c>
    </row>
    <row r="111" spans="1:5" x14ac:dyDescent="0.35">
      <c r="A111" s="33" t="s">
        <v>41</v>
      </c>
      <c r="B111" s="27" t="s">
        <v>41</v>
      </c>
      <c r="C111" s="27" t="s">
        <v>41</v>
      </c>
      <c r="D111" s="27" t="s">
        <v>240</v>
      </c>
      <c r="E111" t="s">
        <v>751</v>
      </c>
    </row>
    <row r="112" spans="1:5" x14ac:dyDescent="0.35">
      <c r="A112" s="32" t="s">
        <v>0</v>
      </c>
      <c r="B112" s="27" t="s">
        <v>0</v>
      </c>
      <c r="C112" s="27" t="s">
        <v>119</v>
      </c>
      <c r="D112" s="27" t="s">
        <v>206</v>
      </c>
      <c r="E112" t="s">
        <v>119</v>
      </c>
    </row>
    <row r="113" spans="1:5" x14ac:dyDescent="0.35">
      <c r="A113" s="33" t="s">
        <v>6</v>
      </c>
      <c r="B113" s="33" t="s">
        <v>101</v>
      </c>
      <c r="C113" s="33" t="s">
        <v>144</v>
      </c>
      <c r="D113" s="33" t="s">
        <v>224</v>
      </c>
      <c r="E113" s="33" t="s">
        <v>752</v>
      </c>
    </row>
    <row r="114" spans="1:5" x14ac:dyDescent="0.35">
      <c r="A114" s="33" t="s">
        <v>14</v>
      </c>
      <c r="B114" s="27" t="s">
        <v>516</v>
      </c>
      <c r="C114" s="27" t="s">
        <v>145</v>
      </c>
      <c r="D114" s="27" t="s">
        <v>225</v>
      </c>
      <c r="E114" t="s">
        <v>753</v>
      </c>
    </row>
    <row r="115" spans="1:5" x14ac:dyDescent="0.35">
      <c r="A115" s="32" t="s">
        <v>564</v>
      </c>
      <c r="B115" s="27" t="s">
        <v>577</v>
      </c>
      <c r="C115" s="27" t="s">
        <v>578</v>
      </c>
      <c r="D115" s="27" t="s">
        <v>579</v>
      </c>
      <c r="E115" t="s">
        <v>754</v>
      </c>
    </row>
    <row r="116" spans="1:5" x14ac:dyDescent="0.35">
      <c r="A116" s="33" t="s">
        <v>45</v>
      </c>
      <c r="B116" s="27" t="s">
        <v>520</v>
      </c>
      <c r="C116" s="27" t="s">
        <v>172</v>
      </c>
      <c r="D116" s="27" t="s">
        <v>241</v>
      </c>
      <c r="E116" t="s">
        <v>755</v>
      </c>
    </row>
    <row r="117" spans="1:5" x14ac:dyDescent="0.35">
      <c r="A117" s="32" t="s">
        <v>565</v>
      </c>
      <c r="B117" s="27" t="s">
        <v>581</v>
      </c>
      <c r="C117" s="27" t="s">
        <v>582</v>
      </c>
      <c r="D117" s="27" t="s">
        <v>806</v>
      </c>
      <c r="E117" t="s">
        <v>582</v>
      </c>
    </row>
  </sheetData>
  <sheetProtection selectLockedCells="1" selectUnlockedCells="1"/>
  <sortState xmlns:xlrd2="http://schemas.microsoft.com/office/spreadsheetml/2017/richdata2" ref="A2:E113">
    <sortCondition ref="A2:A113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9CC5DD352CA4BA6869C87EFEB09E3" ma:contentTypeVersion="12" ma:contentTypeDescription="Create a new document." ma:contentTypeScope="" ma:versionID="2ca656cced6b497cbc0c3baebcf7989b">
  <xsd:schema xmlns:xsd="http://www.w3.org/2001/XMLSchema" xmlns:xs="http://www.w3.org/2001/XMLSchema" xmlns:p="http://schemas.microsoft.com/office/2006/metadata/properties" xmlns:ns3="0fc12e61-0f3b-4a69-8719-5efab87eceb1" xmlns:ns4="0c895a65-33c2-4f1a-b073-7ec2fab8c16c" targetNamespace="http://schemas.microsoft.com/office/2006/metadata/properties" ma:root="true" ma:fieldsID="d094c084ae94cf89630c257f53df64a7" ns3:_="" ns4:_="">
    <xsd:import namespace="0fc12e61-0f3b-4a69-8719-5efab87eceb1"/>
    <xsd:import namespace="0c895a65-33c2-4f1a-b073-7ec2fab8c1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2e61-0f3b-4a69-8719-5efab87ec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95a65-33c2-4f1a-b073-7ec2fab8c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D0EE74-1565-4E75-B9EA-11B418568E4B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0c895a65-33c2-4f1a-b073-7ec2fab8c16c"/>
    <ds:schemaRef ds:uri="0fc12e61-0f3b-4a69-8719-5efab87eceb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5AD81D-0CE6-4BCC-8EFB-7C634FAFC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c12e61-0f3b-4a69-8719-5efab87eceb1"/>
    <ds:schemaRef ds:uri="0c895a65-33c2-4f1a-b073-7ec2fab8c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2F7910-1209-4854-A1A4-4C8442699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61</vt:i4>
      </vt:variant>
    </vt:vector>
  </HeadingPairs>
  <TitlesOfParts>
    <vt:vector size="62" baseType="lpstr">
      <vt:lpstr>List</vt:lpstr>
      <vt:lpstr>AllArmour</vt:lpstr>
      <vt:lpstr>AllQual</vt:lpstr>
      <vt:lpstr>AllTraining</vt:lpstr>
      <vt:lpstr>Ally</vt:lpstr>
      <vt:lpstr>Armure</vt:lpstr>
      <vt:lpstr>Attrition_Table</vt:lpstr>
      <vt:lpstr>AvQual</vt:lpstr>
      <vt:lpstr>BWGMiss</vt:lpstr>
      <vt:lpstr>BWGWpn</vt:lpstr>
      <vt:lpstr>camp</vt:lpstr>
      <vt:lpstr>CampList</vt:lpstr>
      <vt:lpstr>CatArmr</vt:lpstr>
      <vt:lpstr>CatMiss</vt:lpstr>
      <vt:lpstr>CavArmr</vt:lpstr>
      <vt:lpstr>CavMiss</vt:lpstr>
      <vt:lpstr>CavWpn</vt:lpstr>
      <vt:lpstr>Charge</vt:lpstr>
      <vt:lpstr>ChWpn</vt:lpstr>
      <vt:lpstr>CmdCost</vt:lpstr>
      <vt:lpstr>Colonne_Tableau_listes</vt:lpstr>
      <vt:lpstr>colonnes_autobreack</vt:lpstr>
      <vt:lpstr>Colonnes_table_budget</vt:lpstr>
      <vt:lpstr>Combat</vt:lpstr>
      <vt:lpstr>Divers</vt:lpstr>
      <vt:lpstr>Drilled</vt:lpstr>
      <vt:lpstr>ElQual</vt:lpstr>
      <vt:lpstr>FootMiss</vt:lpstr>
      <vt:lpstr>footWpn</vt:lpstr>
      <vt:lpstr>impact</vt:lpstr>
      <vt:lpstr>KnArmr</vt:lpstr>
      <vt:lpstr>KnWpn</vt:lpstr>
      <vt:lpstr>Language_choices</vt:lpstr>
      <vt:lpstr>LHMiss</vt:lpstr>
      <vt:lpstr>livret</vt:lpstr>
      <vt:lpstr>Local_language</vt:lpstr>
      <vt:lpstr>Melée</vt:lpstr>
      <vt:lpstr>MobQual</vt:lpstr>
      <vt:lpstr>NoType</vt:lpstr>
      <vt:lpstr>ordre_de_marche</vt:lpstr>
      <vt:lpstr>List!Print_Titles</vt:lpstr>
      <vt:lpstr>Prix_commandant</vt:lpstr>
      <vt:lpstr>Quality</vt:lpstr>
      <vt:lpstr>Special</vt:lpstr>
      <vt:lpstr>Table_armes_impact</vt:lpstr>
      <vt:lpstr>Table_armes_melee</vt:lpstr>
      <vt:lpstr>Table_armes_tir</vt:lpstr>
      <vt:lpstr>Table_budget</vt:lpstr>
      <vt:lpstr>Table_budget_infanterie</vt:lpstr>
      <vt:lpstr>table_eclaireur</vt:lpstr>
      <vt:lpstr>table_general</vt:lpstr>
      <vt:lpstr>Table_special</vt:lpstr>
      <vt:lpstr>tableau_autobreack</vt:lpstr>
      <vt:lpstr>Tableau_listes</vt:lpstr>
      <vt:lpstr>Terrain</vt:lpstr>
      <vt:lpstr>Tir</vt:lpstr>
      <vt:lpstr>Training</vt:lpstr>
      <vt:lpstr>Type</vt:lpstr>
      <vt:lpstr>type_de_commandant</vt:lpstr>
      <vt:lpstr>Undrilled</vt:lpstr>
      <vt:lpstr>UserTable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Powell, Phil Mr (DIO Fin-IBS Proj4b)</cp:lastModifiedBy>
  <cp:lastPrinted>2017-11-23T11:44:44Z</cp:lastPrinted>
  <dcterms:created xsi:type="dcterms:W3CDTF">2006-12-28T19:47:32Z</dcterms:created>
  <dcterms:modified xsi:type="dcterms:W3CDTF">2022-02-21T14:00:17Z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0x01010031D9CC5DD352CA4BA6869C87EFEB09E3</vt:lpwstr>
  </property>
</Properties>
</file>